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DO Applications and Checklist\"/>
    </mc:Choice>
  </mc:AlternateContent>
  <xr:revisionPtr revIDLastSave="0" documentId="13_ncr:1_{94B24A8F-B901-4693-95D2-91EA665721EA}" xr6:coauthVersionLast="47" xr6:coauthVersionMax="47" xr10:uidLastSave="{00000000-0000-0000-0000-000000000000}"/>
  <workbookProtection workbookAlgorithmName="SHA-512" workbookHashValue="10eySDZi4X1EIXLqCyQQhrJxAe4NE+slPGTdUS1vi+Nfp0ogzcRqlVaHRsqu5yJiK/23q+1Sy8+zwfPRb8CSSw==" workbookSaltValue="NaKafMytO7ntwV6sqwjtuQ==" workbookSpinCount="100000" lockStructure="1"/>
  <bookViews>
    <workbookView xWindow="-120" yWindow="-120" windowWidth="29040" windowHeight="15840" activeTab="1" xr2:uid="{00000000-000D-0000-FFFF-FFFF00000000}"/>
  </bookViews>
  <sheets>
    <sheet name="FEES" sheetId="7" r:id="rId1"/>
    <sheet name="Calculation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7" l="1"/>
  <c r="F24" i="7"/>
  <c r="F20" i="7"/>
  <c r="C39" i="9"/>
  <c r="E39" i="9" s="1"/>
  <c r="C46" i="9"/>
  <c r="E46" i="9" s="1"/>
  <c r="C53" i="9"/>
  <c r="E53" i="9" s="1"/>
  <c r="C60" i="9"/>
  <c r="E60" i="9" s="1"/>
  <c r="C68" i="9"/>
  <c r="C69" i="9"/>
  <c r="C67" i="9"/>
  <c r="H67" i="9" s="1"/>
  <c r="C77" i="9"/>
  <c r="C76" i="9"/>
  <c r="F36" i="7"/>
  <c r="M82" i="9"/>
  <c r="C87" i="9" s="1"/>
  <c r="N74" i="9"/>
  <c r="M74" i="9"/>
  <c r="N28" i="9"/>
  <c r="M65" i="9"/>
  <c r="M58" i="9"/>
  <c r="M51" i="9"/>
  <c r="M28" i="9"/>
  <c r="C31" i="9" s="1"/>
  <c r="M16" i="9"/>
  <c r="C20" i="9" s="1"/>
  <c r="M39" i="9"/>
  <c r="M93" i="9"/>
  <c r="C94" i="9" s="1"/>
  <c r="D94" i="9" s="1"/>
  <c r="E94" i="9" s="1"/>
  <c r="F94" i="9" s="1"/>
  <c r="M45" i="9"/>
  <c r="M6" i="9"/>
  <c r="C9" i="9" s="1"/>
  <c r="H39" i="9" l="1"/>
  <c r="N39" i="9"/>
  <c r="F16" i="7" s="1"/>
  <c r="H46" i="9"/>
  <c r="N45" i="9"/>
  <c r="H53" i="9"/>
  <c r="N51" i="9"/>
  <c r="C86" i="9"/>
  <c r="C85" i="9"/>
  <c r="H85" i="9" s="1"/>
  <c r="N82" i="9" s="1"/>
  <c r="F40" i="7" s="1"/>
  <c r="H60" i="9"/>
  <c r="N58" i="9"/>
  <c r="N65" i="9"/>
  <c r="F32" i="7" s="1"/>
  <c r="C30" i="9"/>
  <c r="H30" i="9" s="1"/>
  <c r="F11" i="7" s="1"/>
  <c r="C32" i="9"/>
  <c r="C19" i="9"/>
  <c r="F19" i="9" s="1"/>
  <c r="C18" i="9"/>
  <c r="H18" i="9" s="1"/>
  <c r="N16" i="9" s="1"/>
  <c r="C22" i="9"/>
  <c r="F22" i="9" s="1"/>
  <c r="C23" i="9"/>
  <c r="F23" i="9" s="1"/>
  <c r="C21" i="9"/>
  <c r="F21" i="9" s="1"/>
  <c r="C93" i="9"/>
  <c r="H93" i="9" s="1"/>
  <c r="C96" i="9"/>
  <c r="D96" i="9" s="1"/>
  <c r="E96" i="9" s="1"/>
  <c r="F96" i="9" s="1"/>
  <c r="H96" i="9" s="1"/>
  <c r="C95" i="9"/>
  <c r="H94" i="9"/>
  <c r="C10" i="9"/>
  <c r="C11" i="9"/>
  <c r="F20" i="9"/>
  <c r="H20" i="9" s="1"/>
  <c r="C8" i="9"/>
  <c r="C6" i="9"/>
  <c r="H6" i="9" s="1"/>
  <c r="C7" i="9"/>
  <c r="D7" i="9" s="1"/>
  <c r="E7" i="9" s="1"/>
  <c r="F7" i="9" s="1"/>
  <c r="H22" i="9" l="1"/>
  <c r="H19" i="9"/>
  <c r="H23" i="9"/>
  <c r="H21" i="9"/>
  <c r="D95" i="9"/>
  <c r="E95" i="9" s="1"/>
  <c r="F95" i="9" s="1"/>
  <c r="H95" i="9" s="1"/>
  <c r="N93" i="9" s="1"/>
  <c r="F45" i="7" s="1"/>
  <c r="H7" i="9"/>
  <c r="D8" i="9"/>
  <c r="E8" i="9" s="1"/>
  <c r="F8" i="9" s="1"/>
  <c r="H8" i="9" s="1"/>
  <c r="D11" i="9"/>
  <c r="E11" i="9" s="1"/>
  <c r="F11" i="9" s="1"/>
  <c r="H11" i="9" s="1"/>
  <c r="I11" i="9" s="1"/>
  <c r="D10" i="9"/>
  <c r="E10" i="9" s="1"/>
  <c r="D9" i="9"/>
  <c r="E9" i="9" s="1"/>
  <c r="F9" i="9" s="1"/>
  <c r="H9" i="9" s="1"/>
  <c r="I9" i="9" s="1"/>
  <c r="N6" i="9"/>
  <c r="F3" i="7" s="1"/>
  <c r="F4" i="7" s="1"/>
  <c r="F7" i="7" l="1"/>
  <c r="F10" i="9"/>
  <c r="H10" i="9" s="1"/>
  <c r="I10" i="9" s="1"/>
</calcChain>
</file>

<file path=xl/sharedStrings.xml><?xml version="1.0" encoding="utf-8"?>
<sst xmlns="http://schemas.openxmlformats.org/spreadsheetml/2006/main" count="183" uniqueCount="72">
  <si>
    <t>PERMIT VALUATION</t>
  </si>
  <si>
    <t xml:space="preserve">MINIMUM PERMIT FEE </t>
  </si>
  <si>
    <t>PERMIT FEE</t>
  </si>
  <si>
    <t>COMMERCIAL BUILDING PERMIT</t>
  </si>
  <si>
    <t>UP TO $1,000</t>
  </si>
  <si>
    <t>$15,000.01 TO $50,000</t>
  </si>
  <si>
    <t>$50,000.01 TO $100,000</t>
  </si>
  <si>
    <t>$100,000.01 TO $500,000</t>
  </si>
  <si>
    <t>$500,000.01 AND UP</t>
  </si>
  <si>
    <t>$1,000.01 TO $15,000</t>
  </si>
  <si>
    <t>CELLS D, E AND F ARE HIDDEN</t>
  </si>
  <si>
    <t>$1,000.01 TO $5,000</t>
  </si>
  <si>
    <t>$5,000.01 TO $15,000</t>
  </si>
  <si>
    <t>$15,000.01 AND UP</t>
  </si>
  <si>
    <t>ON PREMISE SIGN PERMIT FEES</t>
  </si>
  <si>
    <t>25% PLAN REVIEW FEE</t>
  </si>
  <si>
    <t>Permit Valuation</t>
  </si>
  <si>
    <t>Permit Fee Calculation</t>
  </si>
  <si>
    <t xml:space="preserve">*Minimum Permit Fee </t>
  </si>
  <si>
    <t>RESIDENTIAL BUILDING PERMIT</t>
  </si>
  <si>
    <t>New</t>
  </si>
  <si>
    <t>Commercial Building Permit Tier Changes</t>
  </si>
  <si>
    <t>Residential Building Permit New Tier Changes</t>
  </si>
  <si>
    <t>On Premise Sign Permit Tier Changes</t>
  </si>
  <si>
    <t>For changes to price per thousand or base price, make changes in Column F to the left.
For changes to the tier structure, make changes to the right in Column N</t>
  </si>
  <si>
    <t>The Development Center
700 Main Center - Suite 128
Victoria, Texas  77901
361-485-3320</t>
  </si>
  <si>
    <t>*Min Plan Review fee is $100</t>
  </si>
  <si>
    <t>MECHANICAL, ELECTRICAL, PLUMBING &amp; GAS - COMMERICAL</t>
  </si>
  <si>
    <t>MECHANICAL, ELECTRICAL, PLUMBING &amp; GAS - COMMERCIAL</t>
  </si>
  <si>
    <t xml:space="preserve">$1,000.01 TO $10,000 </t>
  </si>
  <si>
    <t>$10,000.01 TO $50,000</t>
  </si>
  <si>
    <t>$100,000.01 TO $250,000</t>
  </si>
  <si>
    <t>$250,000.01 AND UP</t>
  </si>
  <si>
    <t>Commercial - MEP &amp; Gas Permit Tier Changes</t>
  </si>
  <si>
    <t>MECHANICAL, ELECTRICAL, PLUMBING &amp; GAS - RESIDENTIAL</t>
  </si>
  <si>
    <t>SQUARE FOOTAGE</t>
  </si>
  <si>
    <t>UP TO 1,000 square feet</t>
  </si>
  <si>
    <t>1,001 to 3,000 square feet</t>
  </si>
  <si>
    <t>3,001 square feet and above</t>
  </si>
  <si>
    <t>Residential- MEP &amp; Gas Permit Tier Changes</t>
  </si>
  <si>
    <t>Square Footage</t>
  </si>
  <si>
    <t>$0.33 per square foot</t>
  </si>
  <si>
    <t>TOTAL FEE</t>
  </si>
  <si>
    <t>MIN FEE</t>
  </si>
  <si>
    <t>RESIDENTIAL BUILDING PERMIT- NEW</t>
  </si>
  <si>
    <t>RESIDENTIAL BUILDING PERMIT- ADDITIONS</t>
  </si>
  <si>
    <t>RESIDENTIAL BUILDING PERMIT- REMODEL AND REPAIR</t>
  </si>
  <si>
    <t>$0.10 per square foot</t>
  </si>
  <si>
    <t>RESIDENTIAL BUILDING PERMIT- GARAGE, CARPORT, AND ACCESSORY BUILDINGS</t>
  </si>
  <si>
    <t>RESIDENTIAL  RE-ROOF</t>
  </si>
  <si>
    <t>RESIDENTIAL  SIDING</t>
  </si>
  <si>
    <t>1,001 square feet and above</t>
  </si>
  <si>
    <t>RESIDENTIAL FOUNDATION LEVEL</t>
  </si>
  <si>
    <t>Pre-Pier Inspection</t>
  </si>
  <si>
    <t>UP TO 5 PIERS</t>
  </si>
  <si>
    <t>6 TO 20 PIER</t>
  </si>
  <si>
    <t>21 PIERS AND ABOVE</t>
  </si>
  <si>
    <t>Number of Piers</t>
  </si>
  <si>
    <t>PERMIT SQUARE FOOTAGE</t>
  </si>
  <si>
    <t>ADDITIONS</t>
  </si>
  <si>
    <t>REMODEL AND REPAIR</t>
  </si>
  <si>
    <t>GARAGE, CARPORT, AND ACCESSORY BUILDINGS</t>
  </si>
  <si>
    <t>RE-ROOF</t>
  </si>
  <si>
    <t>SIDING</t>
  </si>
  <si>
    <t>FOUNDATION LEVEL</t>
  </si>
  <si>
    <t>*Pre-Pier Inspection</t>
  </si>
  <si>
    <t>Residential Building Permit Additions</t>
  </si>
  <si>
    <t>Residential Building Permit Remodel  and Repair</t>
  </si>
  <si>
    <t>Residential Building Permit Garage, Carport, &amp; Accessory</t>
  </si>
  <si>
    <t>Residential Building Permit Re-Roof</t>
  </si>
  <si>
    <t>Residential Building Permit Siding</t>
  </si>
  <si>
    <t>Residential Building Foundation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</si>
</sst>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5" tint="0.39997558519241921"/>
      </left>
      <right/>
      <top style="thick">
        <color theme="5" tint="0.39997558519241921"/>
      </top>
      <bottom/>
      <diagonal/>
    </border>
    <border>
      <left/>
      <right/>
      <top style="thick">
        <color theme="5" tint="0.39997558519241921"/>
      </top>
      <bottom/>
      <diagonal/>
    </border>
    <border>
      <left/>
      <right style="thick">
        <color theme="5" tint="0.39997558519241921"/>
      </right>
      <top style="thick">
        <color theme="5" tint="0.39997558519241921"/>
      </top>
      <bottom/>
      <diagonal/>
    </border>
    <border>
      <left style="thick">
        <color theme="5" tint="0.39997558519241921"/>
      </left>
      <right/>
      <top/>
      <bottom/>
      <diagonal/>
    </border>
    <border>
      <left/>
      <right style="thick">
        <color theme="5" tint="0.39997558519241921"/>
      </right>
      <top/>
      <bottom/>
      <diagonal/>
    </border>
    <border>
      <left style="thick">
        <color theme="5" tint="0.39997558519241921"/>
      </left>
      <right/>
      <top/>
      <bottom style="thick">
        <color theme="5" tint="0.39997558519241921"/>
      </bottom>
      <diagonal/>
    </border>
    <border>
      <left/>
      <right/>
      <top/>
      <bottom style="thick">
        <color theme="5" tint="0.39997558519241921"/>
      </bottom>
      <diagonal/>
    </border>
    <border>
      <left/>
      <right style="thick">
        <color theme="5" tint="0.39997558519241921"/>
      </right>
      <top/>
      <bottom style="thick">
        <color theme="5" tint="0.39997558519241921"/>
      </bottom>
      <diagonal/>
    </border>
    <border>
      <left/>
      <right/>
      <top/>
      <bottom style="medium">
        <color theme="5" tint="0.3999755851924192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9" fontId="3" fillId="0" borderId="0" xfId="0" applyNumberFormat="1" applyFont="1"/>
    <xf numFmtId="164" fontId="0" fillId="0" borderId="0" xfId="0" applyNumberFormat="1"/>
    <xf numFmtId="164" fontId="4" fillId="0" borderId="0" xfId="0" applyNumberFormat="1" applyFont="1"/>
    <xf numFmtId="10" fontId="5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2" fillId="0" borderId="5" xfId="0" applyFont="1" applyBorder="1"/>
    <xf numFmtId="164" fontId="0" fillId="0" borderId="0" xfId="0" applyNumberFormat="1" applyAlignment="1">
      <alignment horizontal="right"/>
    </xf>
    <xf numFmtId="164" fontId="0" fillId="0" borderId="6" xfId="0" applyNumberFormat="1" applyBorder="1"/>
    <xf numFmtId="164" fontId="4" fillId="0" borderId="6" xfId="0" applyNumberFormat="1" applyFont="1" applyBorder="1"/>
    <xf numFmtId="164" fontId="0" fillId="0" borderId="7" xfId="0" applyNumberFormat="1" applyBorder="1"/>
    <xf numFmtId="0" fontId="2" fillId="0" borderId="5" xfId="0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3" borderId="0" xfId="0" applyFill="1"/>
    <xf numFmtId="164" fontId="0" fillId="3" borderId="0" xfId="0" applyNumberFormat="1" applyFill="1"/>
    <xf numFmtId="9" fontId="1" fillId="3" borderId="0" xfId="1" applyFont="1" applyFill="1"/>
    <xf numFmtId="4" fontId="0" fillId="0" borderId="0" xfId="0" applyNumberFormat="1"/>
    <xf numFmtId="0" fontId="2" fillId="0" borderId="8" xfId="0" applyFont="1" applyBorder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ill="1"/>
    <xf numFmtId="0" fontId="8" fillId="4" borderId="0" xfId="0" applyFont="1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9" fontId="1" fillId="0" borderId="7" xfId="1" applyFont="1" applyFill="1" applyBorder="1"/>
    <xf numFmtId="0" fontId="0" fillId="0" borderId="7" xfId="0" applyBorder="1"/>
    <xf numFmtId="164" fontId="5" fillId="0" borderId="7" xfId="0" applyNumberFormat="1" applyFont="1" applyBorder="1"/>
    <xf numFmtId="4" fontId="0" fillId="0" borderId="6" xfId="0" applyNumberFormat="1" applyBorder="1"/>
    <xf numFmtId="164" fontId="5" fillId="0" borderId="9" xfId="0" applyNumberFormat="1" applyFont="1" applyBorder="1"/>
    <xf numFmtId="0" fontId="0" fillId="0" borderId="8" xfId="0" applyBorder="1"/>
    <xf numFmtId="0" fontId="0" fillId="0" borderId="6" xfId="0" applyBorder="1"/>
    <xf numFmtId="164" fontId="0" fillId="0" borderId="4" xfId="0" applyNumberFormat="1" applyBorder="1"/>
    <xf numFmtId="0" fontId="0" fillId="0" borderId="9" xfId="0" applyBorder="1"/>
    <xf numFmtId="164" fontId="8" fillId="0" borderId="6" xfId="0" applyNumberFormat="1" applyFont="1" applyBorder="1"/>
    <xf numFmtId="0" fontId="5" fillId="0" borderId="0" xfId="0" applyFont="1" applyAlignment="1">
      <alignment horizontal="center"/>
    </xf>
    <xf numFmtId="164" fontId="5" fillId="2" borderId="10" xfId="0" applyNumberFormat="1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9" fontId="1" fillId="0" borderId="0" xfId="1" applyFont="1" applyFill="1" applyBorder="1"/>
    <xf numFmtId="164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8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2" fillId="0" borderId="18" xfId="0" applyFont="1" applyBorder="1" applyAlignment="1">
      <alignment horizontal="center"/>
    </xf>
    <xf numFmtId="0" fontId="4" fillId="0" borderId="19" xfId="0" applyFont="1" applyBorder="1"/>
    <xf numFmtId="164" fontId="4" fillId="0" borderId="19" xfId="0" applyNumberFormat="1" applyFont="1" applyBorder="1"/>
    <xf numFmtId="0" fontId="8" fillId="0" borderId="20" xfId="0" applyFont="1" applyBorder="1"/>
    <xf numFmtId="164" fontId="0" fillId="0" borderId="21" xfId="0" applyNumberFormat="1" applyBorder="1" applyAlignment="1">
      <alignment horizontal="right"/>
    </xf>
    <xf numFmtId="0" fontId="0" fillId="0" borderId="21" xfId="0" applyBorder="1"/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0" fontId="0" fillId="0" borderId="22" xfId="0" applyBorder="1"/>
    <xf numFmtId="0" fontId="8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8" fillId="0" borderId="18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18" xfId="0" applyBorder="1"/>
    <xf numFmtId="164" fontId="0" fillId="0" borderId="18" xfId="0" applyNumberForma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164" fontId="0" fillId="0" borderId="23" xfId="0" applyNumberFormat="1" applyBorder="1"/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5" fillId="2" borderId="1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24" xfId="0" applyFont="1" applyFill="1" applyBorder="1"/>
    <xf numFmtId="164" fontId="0" fillId="3" borderId="24" xfId="0" applyNumberFormat="1" applyFill="1" applyBorder="1" applyAlignment="1">
      <alignment horizontal="right"/>
    </xf>
    <xf numFmtId="164" fontId="0" fillId="3" borderId="24" xfId="0" applyNumberFormat="1" applyFill="1" applyBorder="1"/>
    <xf numFmtId="164" fontId="5" fillId="3" borderId="24" xfId="0" applyNumberFormat="1" applyFont="1" applyFill="1" applyBorder="1" applyAlignment="1">
      <alignment horizontal="center"/>
    </xf>
    <xf numFmtId="0" fontId="0" fillId="3" borderId="24" xfId="0" applyFill="1" applyBorder="1"/>
    <xf numFmtId="3" fontId="0" fillId="0" borderId="0" xfId="0" applyNumberFormat="1" applyAlignment="1">
      <alignment horizontal="right"/>
    </xf>
    <xf numFmtId="0" fontId="12" fillId="0" borderId="2" xfId="0" applyFont="1" applyBorder="1"/>
    <xf numFmtId="0" fontId="13" fillId="0" borderId="18" xfId="0" applyFont="1" applyBorder="1" applyAlignment="1">
      <alignment horizontal="center"/>
    </xf>
    <xf numFmtId="3" fontId="0" fillId="0" borderId="23" xfId="0" applyNumberFormat="1" applyBorder="1"/>
    <xf numFmtId="8" fontId="0" fillId="0" borderId="0" xfId="0" applyNumberFormat="1"/>
    <xf numFmtId="3" fontId="0" fillId="0" borderId="0" xfId="0" applyNumberFormat="1"/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6" borderId="18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7" fillId="5" borderId="19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5" borderId="19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left"/>
    </xf>
    <xf numFmtId="0" fontId="11" fillId="5" borderId="0" xfId="0" applyFont="1" applyFill="1" applyAlignment="1">
      <alignment horizontal="left"/>
    </xf>
    <xf numFmtId="0" fontId="11" fillId="5" borderId="19" xfId="0" applyFont="1" applyFill="1" applyBorder="1" applyAlignment="1">
      <alignment horizontal="left"/>
    </xf>
    <xf numFmtId="0" fontId="7" fillId="5" borderId="18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7" fillId="5" borderId="19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 vertical="center" wrapText="1"/>
    </xf>
    <xf numFmtId="164" fontId="2" fillId="0" borderId="0" xfId="0" applyNumberFormat="1" applyFon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</xdr:rowOff>
    </xdr:from>
    <xdr:to>
      <xdr:col>3</xdr:col>
      <xdr:colOff>1228725</xdr:colOff>
      <xdr:row>0</xdr:row>
      <xdr:rowOff>1309226</xdr:rowOff>
    </xdr:to>
    <xdr:pic>
      <xdr:nvPicPr>
        <xdr:cNvPr id="2" name="Picture 1" descr="City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"/>
          <a:ext cx="3390900" cy="1299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8"/>
  <sheetViews>
    <sheetView showGridLines="0" zoomScaleNormal="100" workbookViewId="0">
      <selection activeCell="I7" sqref="I7"/>
    </sheetView>
  </sheetViews>
  <sheetFormatPr defaultRowHeight="15" x14ac:dyDescent="0.25"/>
  <cols>
    <col min="1" max="1" width="1" customWidth="1"/>
    <col min="2" max="2" width="21.5703125" bestFit="1" customWidth="1"/>
    <col min="3" max="3" width="11.140625" bestFit="1" customWidth="1"/>
    <col min="4" max="4" width="19" bestFit="1" customWidth="1"/>
    <col min="5" max="5" width="27.140625" bestFit="1" customWidth="1"/>
    <col min="6" max="6" width="12.7109375" bestFit="1" customWidth="1"/>
    <col min="7" max="7" width="11.140625" bestFit="1" customWidth="1"/>
    <col min="8" max="9" width="27.28515625" bestFit="1" customWidth="1"/>
    <col min="10" max="10" width="27.85546875" bestFit="1" customWidth="1"/>
    <col min="11" max="11" width="11.140625" bestFit="1" customWidth="1"/>
    <col min="12" max="12" width="10" customWidth="1"/>
    <col min="13" max="13" width="12.7109375" bestFit="1" customWidth="1"/>
    <col min="14" max="14" width="15" customWidth="1"/>
    <col min="15" max="15" width="10" bestFit="1" customWidth="1"/>
    <col min="16" max="16" width="37.7109375" bestFit="1" customWidth="1"/>
  </cols>
  <sheetData>
    <row r="1" spans="2:15" ht="103.5" customHeight="1" thickTop="1" x14ac:dyDescent="0.25">
      <c r="B1" s="74"/>
      <c r="C1" s="75"/>
      <c r="D1" s="75"/>
      <c r="E1" s="97" t="s">
        <v>25</v>
      </c>
      <c r="F1" s="98"/>
      <c r="G1" s="99"/>
      <c r="M1" s="19"/>
      <c r="N1" s="2"/>
      <c r="O1" s="1"/>
    </row>
    <row r="2" spans="2:15" ht="31.5" x14ac:dyDescent="0.5">
      <c r="B2" s="106" t="s">
        <v>3</v>
      </c>
      <c r="C2" s="107"/>
      <c r="D2" s="107"/>
      <c r="E2" s="107"/>
      <c r="F2" s="107"/>
      <c r="G2" s="108"/>
      <c r="H2" s="59"/>
      <c r="M2" s="19"/>
      <c r="N2" s="3"/>
    </row>
    <row r="3" spans="2:15" ht="19.5" thickBot="1" x14ac:dyDescent="0.35">
      <c r="B3" s="71" t="s">
        <v>0</v>
      </c>
      <c r="C3" s="79"/>
      <c r="E3" s="69" t="s">
        <v>2</v>
      </c>
      <c r="F3" s="72">
        <f>Calculations!N6</f>
        <v>0</v>
      </c>
      <c r="G3" s="76"/>
      <c r="K3" s="52"/>
      <c r="L3" s="52"/>
      <c r="N3" s="3"/>
    </row>
    <row r="4" spans="2:15" ht="18.75" x14ac:dyDescent="0.3">
      <c r="B4" s="77"/>
      <c r="C4" s="3"/>
      <c r="E4" s="19" t="s">
        <v>15</v>
      </c>
      <c r="F4" s="73">
        <f>IF(C3&gt;=50000,0.25*F3,0)</f>
        <v>0</v>
      </c>
      <c r="G4" s="76"/>
      <c r="N4" s="3"/>
    </row>
    <row r="5" spans="2:15" ht="13.5" customHeight="1" x14ac:dyDescent="0.3">
      <c r="B5" s="78"/>
      <c r="C5" s="3"/>
      <c r="D5" s="53"/>
      <c r="E5" s="4" t="s">
        <v>26</v>
      </c>
      <c r="F5" s="4"/>
      <c r="G5" s="76"/>
      <c r="H5" s="54"/>
      <c r="N5" s="3"/>
    </row>
    <row r="6" spans="2:15" ht="31.5" x14ac:dyDescent="0.5">
      <c r="B6" s="109" t="s">
        <v>27</v>
      </c>
      <c r="C6" s="110"/>
      <c r="D6" s="110"/>
      <c r="E6" s="110"/>
      <c r="F6" s="110"/>
      <c r="G6" s="111"/>
      <c r="H6" s="59"/>
      <c r="I6" s="59"/>
      <c r="K6" s="3"/>
      <c r="L6" s="3"/>
      <c r="N6" s="2"/>
      <c r="O6" s="1"/>
    </row>
    <row r="7" spans="2:15" ht="19.5" thickBot="1" x14ac:dyDescent="0.35">
      <c r="B7" s="60" t="s">
        <v>0</v>
      </c>
      <c r="C7" s="80"/>
      <c r="E7" s="70" t="s">
        <v>2</v>
      </c>
      <c r="F7" s="73">
        <f>Calculations!N16</f>
        <v>0</v>
      </c>
      <c r="G7" s="76"/>
      <c r="H7" s="1"/>
      <c r="K7" s="52"/>
      <c r="L7" s="52"/>
    </row>
    <row r="8" spans="2:15" x14ac:dyDescent="0.25">
      <c r="B8" s="77"/>
      <c r="F8" s="3"/>
      <c r="G8" s="76"/>
      <c r="H8" s="3"/>
    </row>
    <row r="9" spans="2:15" x14ac:dyDescent="0.25">
      <c r="B9" s="77"/>
      <c r="E9" s="58" t="s">
        <v>18</v>
      </c>
      <c r="F9" s="13">
        <v>110</v>
      </c>
      <c r="G9" s="61"/>
    </row>
    <row r="10" spans="2:15" ht="26.25" x14ac:dyDescent="0.4">
      <c r="B10" s="109" t="s">
        <v>34</v>
      </c>
      <c r="C10" s="110"/>
      <c r="D10" s="110"/>
      <c r="E10" s="110"/>
      <c r="F10" s="110"/>
      <c r="G10" s="111"/>
    </row>
    <row r="11" spans="2:15" ht="19.5" thickBot="1" x14ac:dyDescent="0.35">
      <c r="B11" s="93" t="s">
        <v>58</v>
      </c>
      <c r="C11" s="94"/>
      <c r="E11" s="70" t="s">
        <v>2</v>
      </c>
      <c r="F11" s="73">
        <f>Calculations!N28</f>
        <v>0</v>
      </c>
      <c r="G11" s="76"/>
    </row>
    <row r="12" spans="2:15" x14ac:dyDescent="0.25">
      <c r="B12" s="77"/>
      <c r="F12" s="3"/>
      <c r="G12" s="76"/>
    </row>
    <row r="13" spans="2:15" x14ac:dyDescent="0.25">
      <c r="B13" s="77"/>
      <c r="E13" s="58" t="s">
        <v>18</v>
      </c>
      <c r="F13" s="13">
        <v>100</v>
      </c>
      <c r="G13" s="61"/>
    </row>
    <row r="14" spans="2:15" ht="31.5" x14ac:dyDescent="0.5">
      <c r="B14" s="112" t="s">
        <v>19</v>
      </c>
      <c r="C14" s="113"/>
      <c r="D14" s="113"/>
      <c r="E14" s="113"/>
      <c r="F14" s="113"/>
      <c r="G14" s="114"/>
      <c r="H14" s="59"/>
      <c r="I14" s="59"/>
    </row>
    <row r="15" spans="2:15" ht="25.5" customHeight="1" x14ac:dyDescent="0.5">
      <c r="B15" s="100" t="s">
        <v>20</v>
      </c>
      <c r="C15" s="101"/>
      <c r="D15" s="101"/>
      <c r="E15" s="101"/>
      <c r="F15" s="101"/>
      <c r="G15" s="102"/>
      <c r="H15" s="57"/>
      <c r="I15" s="57"/>
    </row>
    <row r="16" spans="2:15" ht="19.5" thickBot="1" x14ac:dyDescent="0.35">
      <c r="B16" s="93" t="s">
        <v>58</v>
      </c>
      <c r="C16" s="94"/>
      <c r="E16" s="70" t="s">
        <v>2</v>
      </c>
      <c r="F16" s="73">
        <f>Calculations!N39</f>
        <v>355</v>
      </c>
      <c r="G16" s="76"/>
    </row>
    <row r="17" spans="2:10" x14ac:dyDescent="0.25">
      <c r="B17" s="77"/>
      <c r="F17" s="3"/>
      <c r="G17" s="76"/>
    </row>
    <row r="18" spans="2:10" x14ac:dyDescent="0.25">
      <c r="B18" s="77"/>
      <c r="E18" s="58" t="s">
        <v>18</v>
      </c>
      <c r="F18" s="13">
        <v>355</v>
      </c>
      <c r="G18" s="61"/>
    </row>
    <row r="19" spans="2:10" ht="24" customHeight="1" x14ac:dyDescent="0.5">
      <c r="B19" s="100" t="s">
        <v>59</v>
      </c>
      <c r="C19" s="101"/>
      <c r="D19" s="101"/>
      <c r="E19" s="101"/>
      <c r="F19" s="101"/>
      <c r="G19" s="102"/>
      <c r="H19" s="56"/>
      <c r="I19" s="56"/>
      <c r="J19" s="56"/>
    </row>
    <row r="20" spans="2:10" ht="19.5" thickBot="1" x14ac:dyDescent="0.35">
      <c r="B20" s="93" t="s">
        <v>58</v>
      </c>
      <c r="C20" s="94"/>
      <c r="E20" s="70" t="s">
        <v>2</v>
      </c>
      <c r="F20" s="73">
        <f>Calculations!N45</f>
        <v>100</v>
      </c>
      <c r="G20" s="76"/>
      <c r="H20" s="11"/>
    </row>
    <row r="21" spans="2:10" x14ac:dyDescent="0.25">
      <c r="B21" s="77"/>
      <c r="F21" s="3"/>
      <c r="G21" s="76"/>
      <c r="H21" s="4"/>
    </row>
    <row r="22" spans="2:10" x14ac:dyDescent="0.25">
      <c r="B22" s="77"/>
      <c r="E22" s="58" t="s">
        <v>18</v>
      </c>
      <c r="F22" s="13">
        <v>100</v>
      </c>
      <c r="G22" s="61"/>
      <c r="H22" s="4"/>
    </row>
    <row r="23" spans="2:10" ht="22.5" customHeight="1" x14ac:dyDescent="0.25">
      <c r="B23" s="100" t="s">
        <v>60</v>
      </c>
      <c r="C23" s="101"/>
      <c r="D23" s="101"/>
      <c r="E23" s="101"/>
      <c r="F23" s="101"/>
      <c r="G23" s="102"/>
      <c r="H23" s="4"/>
    </row>
    <row r="24" spans="2:10" ht="19.5" thickBot="1" x14ac:dyDescent="0.35">
      <c r="B24" s="93" t="s">
        <v>58</v>
      </c>
      <c r="C24" s="94"/>
      <c r="E24" s="70" t="s">
        <v>2</v>
      </c>
      <c r="F24" s="73">
        <f>Calculations!N51</f>
        <v>100</v>
      </c>
      <c r="G24" s="76"/>
      <c r="H24" s="4"/>
    </row>
    <row r="25" spans="2:10" x14ac:dyDescent="0.25">
      <c r="B25" s="77"/>
      <c r="F25" s="3"/>
      <c r="G25" s="76"/>
      <c r="H25" s="4"/>
    </row>
    <row r="26" spans="2:10" x14ac:dyDescent="0.25">
      <c r="B26" s="77"/>
      <c r="E26" s="58" t="s">
        <v>18</v>
      </c>
      <c r="F26" s="13">
        <v>100</v>
      </c>
      <c r="G26" s="61"/>
      <c r="H26" s="4"/>
    </row>
    <row r="27" spans="2:10" ht="25.5" customHeight="1" x14ac:dyDescent="0.25">
      <c r="B27" s="100" t="s">
        <v>61</v>
      </c>
      <c r="C27" s="101"/>
      <c r="D27" s="101"/>
      <c r="E27" s="101"/>
      <c r="F27" s="101"/>
      <c r="G27" s="102"/>
      <c r="H27" s="4"/>
    </row>
    <row r="28" spans="2:10" ht="19.5" thickBot="1" x14ac:dyDescent="0.35">
      <c r="B28" s="93" t="s">
        <v>58</v>
      </c>
      <c r="C28" s="94"/>
      <c r="E28" s="70" t="s">
        <v>2</v>
      </c>
      <c r="F28" s="73">
        <f>Calculations!N58</f>
        <v>100</v>
      </c>
      <c r="G28" s="76"/>
      <c r="H28" s="4"/>
    </row>
    <row r="29" spans="2:10" x14ac:dyDescent="0.25">
      <c r="B29" s="77"/>
      <c r="F29" s="3"/>
      <c r="G29" s="76"/>
      <c r="H29" s="4"/>
    </row>
    <row r="30" spans="2:10" x14ac:dyDescent="0.25">
      <c r="B30" s="77"/>
      <c r="E30" s="58" t="s">
        <v>18</v>
      </c>
      <c r="F30" s="13">
        <v>100</v>
      </c>
      <c r="G30" s="61"/>
      <c r="H30" s="4"/>
    </row>
    <row r="31" spans="2:10" ht="23.25" customHeight="1" x14ac:dyDescent="0.25">
      <c r="B31" s="100" t="s">
        <v>62</v>
      </c>
      <c r="C31" s="101"/>
      <c r="D31" s="101"/>
      <c r="E31" s="101"/>
      <c r="F31" s="101"/>
      <c r="G31" s="102"/>
      <c r="H31" s="4"/>
    </row>
    <row r="32" spans="2:10" ht="19.5" thickBot="1" x14ac:dyDescent="0.35">
      <c r="B32" s="93" t="s">
        <v>58</v>
      </c>
      <c r="C32" s="94"/>
      <c r="E32" s="70" t="s">
        <v>2</v>
      </c>
      <c r="F32" s="73">
        <f>Calculations!N65</f>
        <v>0</v>
      </c>
      <c r="G32" s="76"/>
      <c r="H32" s="4"/>
    </row>
    <row r="33" spans="2:10" x14ac:dyDescent="0.25">
      <c r="B33" s="77"/>
      <c r="F33" s="3"/>
      <c r="G33" s="76"/>
      <c r="H33" s="4"/>
    </row>
    <row r="34" spans="2:10" x14ac:dyDescent="0.25">
      <c r="B34" s="77"/>
      <c r="E34" s="58" t="s">
        <v>18</v>
      </c>
      <c r="F34" s="13">
        <v>100</v>
      </c>
      <c r="G34" s="61"/>
      <c r="H34" s="4"/>
    </row>
    <row r="35" spans="2:10" ht="24" customHeight="1" x14ac:dyDescent="0.25">
      <c r="B35" s="100" t="s">
        <v>63</v>
      </c>
      <c r="C35" s="101"/>
      <c r="D35" s="101"/>
      <c r="E35" s="101"/>
      <c r="F35" s="101"/>
      <c r="G35" s="102"/>
      <c r="H35" s="4"/>
    </row>
    <row r="36" spans="2:10" ht="19.5" thickBot="1" x14ac:dyDescent="0.35">
      <c r="B36" s="93" t="s">
        <v>58</v>
      </c>
      <c r="C36" s="94"/>
      <c r="E36" s="70" t="s">
        <v>2</v>
      </c>
      <c r="F36" s="73">
        <f>Calculations!N74</f>
        <v>0</v>
      </c>
      <c r="G36" s="76"/>
      <c r="H36" s="4"/>
    </row>
    <row r="37" spans="2:10" x14ac:dyDescent="0.25">
      <c r="B37" s="77"/>
      <c r="F37" s="3"/>
      <c r="G37" s="76"/>
      <c r="H37" s="4"/>
    </row>
    <row r="38" spans="2:10" x14ac:dyDescent="0.25">
      <c r="B38" s="77"/>
      <c r="E38" s="58" t="s">
        <v>18</v>
      </c>
      <c r="F38" s="13">
        <v>100</v>
      </c>
      <c r="G38" s="61"/>
      <c r="H38" s="4"/>
    </row>
    <row r="39" spans="2:10" ht="24" customHeight="1" x14ac:dyDescent="0.25">
      <c r="B39" s="100" t="s">
        <v>64</v>
      </c>
      <c r="C39" s="101"/>
      <c r="D39" s="101"/>
      <c r="E39" s="101"/>
      <c r="F39" s="101"/>
      <c r="G39" s="102"/>
      <c r="H39" s="4"/>
    </row>
    <row r="40" spans="2:10" ht="19.5" thickBot="1" x14ac:dyDescent="0.35">
      <c r="B40" s="93" t="s">
        <v>57</v>
      </c>
      <c r="C40" s="94"/>
      <c r="E40" s="70" t="s">
        <v>2</v>
      </c>
      <c r="F40" s="73">
        <f>Calculations!N82</f>
        <v>0</v>
      </c>
      <c r="G40" s="76"/>
      <c r="H40" s="4"/>
    </row>
    <row r="41" spans="2:10" x14ac:dyDescent="0.25">
      <c r="B41" s="77"/>
      <c r="F41" s="3"/>
      <c r="G41" s="76"/>
      <c r="H41" s="4"/>
    </row>
    <row r="42" spans="2:10" x14ac:dyDescent="0.25">
      <c r="B42" s="77"/>
      <c r="E42" t="s">
        <v>65</v>
      </c>
      <c r="F42" s="95">
        <v>20</v>
      </c>
      <c r="G42" s="61"/>
      <c r="H42" s="4"/>
    </row>
    <row r="43" spans="2:10" x14ac:dyDescent="0.25">
      <c r="B43" s="77"/>
      <c r="C43" s="1"/>
      <c r="E43" s="58" t="s">
        <v>18</v>
      </c>
      <c r="F43" s="13">
        <v>100</v>
      </c>
      <c r="G43" s="62"/>
      <c r="H43" s="4"/>
    </row>
    <row r="44" spans="2:10" ht="31.5" x14ac:dyDescent="0.5">
      <c r="B44" s="103" t="s">
        <v>14</v>
      </c>
      <c r="C44" s="104"/>
      <c r="D44" s="104"/>
      <c r="E44" s="104"/>
      <c r="F44" s="104"/>
      <c r="G44" s="105"/>
      <c r="H44" s="59"/>
      <c r="I44" s="59"/>
    </row>
    <row r="45" spans="2:10" ht="19.5" thickBot="1" x14ac:dyDescent="0.35">
      <c r="B45" s="71" t="s">
        <v>0</v>
      </c>
      <c r="C45" s="79"/>
      <c r="E45" s="69" t="s">
        <v>2</v>
      </c>
      <c r="F45" s="72">
        <f>Calculations!N93</f>
        <v>0</v>
      </c>
      <c r="G45" s="76"/>
      <c r="H45" s="11"/>
    </row>
    <row r="46" spans="2:10" ht="19.5" thickBot="1" x14ac:dyDescent="0.35">
      <c r="B46" s="63"/>
      <c r="C46" s="64"/>
      <c r="D46" s="65"/>
      <c r="E46" s="66"/>
      <c r="F46" s="67"/>
      <c r="G46" s="68"/>
      <c r="H46" s="11"/>
    </row>
    <row r="47" spans="2:10" ht="15.75" thickTop="1" x14ac:dyDescent="0.25">
      <c r="C47" s="1"/>
      <c r="E47" s="3"/>
      <c r="H47" s="4"/>
    </row>
    <row r="48" spans="2:10" x14ac:dyDescent="0.25">
      <c r="C48" s="1"/>
      <c r="D48" s="3"/>
      <c r="E48" s="23"/>
      <c r="F48" s="3"/>
      <c r="G48" s="4"/>
      <c r="H48" s="4"/>
      <c r="J48" s="55"/>
    </row>
  </sheetData>
  <protectedRanges>
    <protectedRange sqref="C3 C7 C45 C11 C16 C20 C24 C28 C32 C36 C40" name="Valuation"/>
  </protectedRanges>
  <mergeCells count="13">
    <mergeCell ref="E1:G1"/>
    <mergeCell ref="B19:G19"/>
    <mergeCell ref="B44:G44"/>
    <mergeCell ref="B15:G15"/>
    <mergeCell ref="B2:G2"/>
    <mergeCell ref="B6:G6"/>
    <mergeCell ref="B14:G14"/>
    <mergeCell ref="B10:G10"/>
    <mergeCell ref="B23:G23"/>
    <mergeCell ref="B27:G27"/>
    <mergeCell ref="B31:G31"/>
    <mergeCell ref="B35:G35"/>
    <mergeCell ref="B39:G3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tabSelected="1" topLeftCell="A62" zoomScale="70" zoomScaleNormal="70" workbookViewId="0">
      <selection activeCell="N93" sqref="N93"/>
    </sheetView>
  </sheetViews>
  <sheetFormatPr defaultRowHeight="15" x14ac:dyDescent="0.25"/>
  <cols>
    <col min="2" max="2" width="34.140625" customWidth="1"/>
    <col min="3" max="3" width="18.7109375" bestFit="1" customWidth="1"/>
    <col min="4" max="4" width="18.7109375" customWidth="1"/>
    <col min="5" max="5" width="14.42578125" bestFit="1" customWidth="1"/>
    <col min="6" max="6" width="15.28515625" bestFit="1" customWidth="1"/>
    <col min="7" max="7" width="11.140625" customWidth="1"/>
    <col min="8" max="8" width="14.85546875" bestFit="1" customWidth="1"/>
    <col min="9" max="9" width="27.85546875" bestFit="1" customWidth="1"/>
    <col min="10" max="10" width="11.140625" bestFit="1" customWidth="1"/>
    <col min="11" max="11" width="10" customWidth="1"/>
    <col min="12" max="12" width="49" customWidth="1"/>
    <col min="13" max="13" width="16.140625" bestFit="1" customWidth="1"/>
    <col min="14" max="15" width="21.42578125" bestFit="1" customWidth="1"/>
  </cols>
  <sheetData>
    <row r="1" spans="1:15" ht="15.75" thickBot="1" x14ac:dyDescent="0.3">
      <c r="A1" s="20"/>
      <c r="B1" s="20"/>
      <c r="C1" s="20"/>
      <c r="D1" s="28" t="s">
        <v>10</v>
      </c>
      <c r="E1" s="25"/>
      <c r="F1" s="25"/>
      <c r="G1" s="20"/>
      <c r="H1" s="20"/>
      <c r="I1" s="20"/>
      <c r="J1" s="20"/>
      <c r="K1" s="20"/>
    </row>
    <row r="2" spans="1:15" ht="32.25" customHeight="1" x14ac:dyDescent="0.5">
      <c r="A2" s="20"/>
      <c r="B2" s="7" t="s">
        <v>3</v>
      </c>
      <c r="C2" s="8"/>
      <c r="D2" s="8"/>
      <c r="E2" s="8"/>
      <c r="F2" s="8"/>
      <c r="G2" s="8"/>
      <c r="H2" s="8"/>
      <c r="I2" s="8"/>
      <c r="J2" s="9"/>
      <c r="K2" s="20"/>
      <c r="L2" s="115" t="s">
        <v>24</v>
      </c>
      <c r="M2" s="81" t="s">
        <v>21</v>
      </c>
    </row>
    <row r="3" spans="1:15" ht="18.75" x14ac:dyDescent="0.3">
      <c r="A3" s="20"/>
      <c r="B3" s="17" t="s">
        <v>1</v>
      </c>
      <c r="C3" s="18">
        <v>200</v>
      </c>
      <c r="D3" s="3"/>
      <c r="E3" s="3"/>
      <c r="F3" s="3"/>
      <c r="G3" s="3"/>
      <c r="H3" s="3"/>
      <c r="I3" s="3"/>
      <c r="J3" s="16"/>
      <c r="K3" s="32"/>
      <c r="L3" s="115"/>
      <c r="M3" s="81"/>
    </row>
    <row r="4" spans="1:15" ht="19.5" thickBot="1" x14ac:dyDescent="0.35">
      <c r="A4" s="20"/>
      <c r="B4" s="10"/>
      <c r="D4" s="18"/>
      <c r="E4" s="3"/>
      <c r="F4" s="3"/>
      <c r="G4" s="3"/>
      <c r="H4" s="3"/>
      <c r="I4" s="3"/>
      <c r="J4" s="34"/>
      <c r="K4" s="20"/>
      <c r="L4" s="115"/>
      <c r="M4" s="81"/>
    </row>
    <row r="5" spans="1:15" ht="18.75" x14ac:dyDescent="0.3">
      <c r="A5" s="20"/>
      <c r="B5" s="10"/>
      <c r="C5" s="11" t="s">
        <v>0</v>
      </c>
      <c r="D5" s="11"/>
      <c r="F5" s="11" t="s">
        <v>2</v>
      </c>
      <c r="G5" s="11"/>
      <c r="H5" s="6" t="s">
        <v>2</v>
      </c>
      <c r="I5" s="43"/>
      <c r="J5" s="33"/>
      <c r="K5" s="22"/>
      <c r="L5" s="115"/>
      <c r="M5" s="1" t="s">
        <v>16</v>
      </c>
      <c r="N5" s="1" t="s">
        <v>17</v>
      </c>
    </row>
    <row r="6" spans="1:15" ht="18.75" x14ac:dyDescent="0.3">
      <c r="A6" s="20"/>
      <c r="B6" s="12" t="s">
        <v>4</v>
      </c>
      <c r="C6" s="13">
        <f t="shared" ref="C6:C11" si="0">$M$6</f>
        <v>0</v>
      </c>
      <c r="D6" s="3"/>
      <c r="F6" s="4">
        <v>200</v>
      </c>
      <c r="G6" s="4"/>
      <c r="H6" s="45">
        <f t="shared" ref="H6:H11" si="1">ROUNDUP(IF(OR(C6=0),(0),F6),0)</f>
        <v>0</v>
      </c>
      <c r="I6" s="43"/>
      <c r="J6" s="34"/>
      <c r="K6" s="20"/>
      <c r="L6" s="115"/>
      <c r="M6">
        <f>FEES!C3</f>
        <v>0</v>
      </c>
      <c r="N6">
        <f>IF(M6&lt;=1000,H6,IF(AND(M6&gt;1000,M6&lt;=15000),H7,IF(AND(M6&gt;15000,M6&lt;=50000),H8,IF(AND(M6&gt;50000,M6&lt;=100000),H9,IF(AND(M6&gt;100000,M6&lt;=500000),H10,IF(M6&gt;500000,H11,""))))))</f>
        <v>0</v>
      </c>
    </row>
    <row r="7" spans="1:15" ht="19.5" thickBot="1" x14ac:dyDescent="0.35">
      <c r="A7" s="20"/>
      <c r="B7" s="12" t="s">
        <v>9</v>
      </c>
      <c r="C7" s="13">
        <f t="shared" si="0"/>
        <v>0</v>
      </c>
      <c r="D7" s="23">
        <f>SUM((C7-1000)/(1000))</f>
        <v>-1</v>
      </c>
      <c r="E7" s="3">
        <f>ROUNDUP(D7,0)</f>
        <v>-1</v>
      </c>
      <c r="F7" s="4">
        <f>SUM(E7*6)+200</f>
        <v>194</v>
      </c>
      <c r="G7" s="4"/>
      <c r="H7" s="45">
        <f t="shared" si="1"/>
        <v>0</v>
      </c>
      <c r="I7" s="43"/>
      <c r="J7" s="34"/>
      <c r="K7" s="20"/>
      <c r="L7" s="115"/>
    </row>
    <row r="8" spans="1:15" ht="18.75" x14ac:dyDescent="0.3">
      <c r="A8" s="20"/>
      <c r="B8" s="12" t="s">
        <v>5</v>
      </c>
      <c r="C8" s="13">
        <f t="shared" si="0"/>
        <v>0</v>
      </c>
      <c r="D8" s="23">
        <f>SUM((C8-15000)/(1000))</f>
        <v>-15</v>
      </c>
      <c r="E8" s="3">
        <f>ROUNDUP(D8,0)</f>
        <v>-15</v>
      </c>
      <c r="F8" s="4">
        <f>SUM((E8*5)+284)</f>
        <v>209</v>
      </c>
      <c r="G8" s="4"/>
      <c r="H8" s="46">
        <f t="shared" si="1"/>
        <v>0</v>
      </c>
      <c r="I8" s="49" t="s">
        <v>15</v>
      </c>
      <c r="J8" s="35"/>
      <c r="K8" s="20"/>
      <c r="L8" s="115"/>
      <c r="M8" s="3"/>
    </row>
    <row r="9" spans="1:15" ht="18.75" x14ac:dyDescent="0.3">
      <c r="A9" s="20"/>
      <c r="B9" s="12" t="s">
        <v>6</v>
      </c>
      <c r="C9" s="13">
        <f t="shared" si="0"/>
        <v>0</v>
      </c>
      <c r="D9" s="23">
        <f>SUM((C9-50000)/(1000))</f>
        <v>-50</v>
      </c>
      <c r="E9" s="3">
        <f>ROUNDUP(D9,0)</f>
        <v>-50</v>
      </c>
      <c r="F9" s="4">
        <f>SUM(E9*3.8)+459</f>
        <v>269</v>
      </c>
      <c r="G9" s="4"/>
      <c r="H9" s="46">
        <f t="shared" si="1"/>
        <v>0</v>
      </c>
      <c r="I9" s="50">
        <f>ROUNDUP(H9*0.25,0)</f>
        <v>0</v>
      </c>
      <c r="J9" s="35"/>
      <c r="K9" s="29"/>
      <c r="L9" s="115"/>
    </row>
    <row r="10" spans="1:15" ht="18.75" x14ac:dyDescent="0.3">
      <c r="A10" s="20"/>
      <c r="B10" s="12" t="s">
        <v>7</v>
      </c>
      <c r="C10" s="13">
        <f t="shared" si="0"/>
        <v>0</v>
      </c>
      <c r="D10" s="23">
        <f>SUM((C10-100000)/(1000))</f>
        <v>-100</v>
      </c>
      <c r="E10" s="3">
        <f>ROUNDUP(D10,0)</f>
        <v>-100</v>
      </c>
      <c r="F10" s="4">
        <f>SUM(E10*2.35)+649</f>
        <v>414</v>
      </c>
      <c r="G10" s="4"/>
      <c r="H10" s="46">
        <f t="shared" si="1"/>
        <v>0</v>
      </c>
      <c r="I10" s="50">
        <f>ROUNDUP(H10*0.25,0)</f>
        <v>0</v>
      </c>
      <c r="J10" s="35"/>
      <c r="K10" s="30"/>
      <c r="L10" s="115"/>
    </row>
    <row r="11" spans="1:15" ht="19.5" thickBot="1" x14ac:dyDescent="0.35">
      <c r="A11" s="20"/>
      <c r="B11" s="12" t="s">
        <v>8</v>
      </c>
      <c r="C11" s="13">
        <f t="shared" si="0"/>
        <v>0</v>
      </c>
      <c r="D11" s="23">
        <f>SUM((C11-500000)/(1000))</f>
        <v>-500</v>
      </c>
      <c r="E11" s="3">
        <f>ROUNDUP(D11,0)</f>
        <v>-500</v>
      </c>
      <c r="F11" s="4">
        <f>SUM(E11*1.25)+1589</f>
        <v>964</v>
      </c>
      <c r="G11" s="4"/>
      <c r="H11" s="47">
        <f t="shared" si="1"/>
        <v>0</v>
      </c>
      <c r="I11" s="51">
        <f>ROUNDUP(H11*0.25,0)</f>
        <v>0</v>
      </c>
      <c r="J11" s="35"/>
      <c r="K11" s="31"/>
      <c r="L11" s="115"/>
      <c r="M11" s="1"/>
    </row>
    <row r="12" spans="1:15" ht="19.5" thickBot="1" x14ac:dyDescent="0.35">
      <c r="A12" s="20"/>
      <c r="B12" s="38"/>
      <c r="C12" s="39"/>
      <c r="D12" s="39"/>
      <c r="E12" s="39"/>
      <c r="F12" s="39"/>
      <c r="G12" s="39"/>
      <c r="H12" s="39"/>
      <c r="I12" s="39"/>
      <c r="J12" s="37"/>
      <c r="K12" s="21"/>
      <c r="L12" s="115"/>
      <c r="M12" s="3"/>
    </row>
    <row r="13" spans="1:15" ht="15.75" thickBot="1" x14ac:dyDescent="0.3">
      <c r="A13" s="20"/>
      <c r="B13" s="20"/>
      <c r="C13" s="21"/>
      <c r="D13" s="28" t="s">
        <v>10</v>
      </c>
      <c r="E13" s="26"/>
      <c r="F13" s="26"/>
      <c r="G13" s="21"/>
      <c r="H13" s="21"/>
      <c r="I13" s="21"/>
      <c r="J13" s="21"/>
      <c r="K13" s="21"/>
      <c r="L13" s="82"/>
      <c r="M13" s="3"/>
    </row>
    <row r="14" spans="1:15" ht="31.5" x14ac:dyDescent="0.5">
      <c r="A14" s="20"/>
      <c r="B14" s="7" t="s">
        <v>28</v>
      </c>
      <c r="C14" s="8"/>
      <c r="D14" s="8"/>
      <c r="E14" s="8"/>
      <c r="F14" s="8"/>
      <c r="G14" s="8"/>
      <c r="H14" s="8"/>
      <c r="I14" s="8"/>
      <c r="J14" s="40"/>
      <c r="K14" s="21"/>
      <c r="L14" s="82"/>
      <c r="M14" s="116" t="s">
        <v>33</v>
      </c>
      <c r="N14" s="117"/>
      <c r="O14" s="117"/>
    </row>
    <row r="15" spans="1:15" x14ac:dyDescent="0.25">
      <c r="A15" s="20"/>
      <c r="B15" s="17" t="s">
        <v>1</v>
      </c>
      <c r="C15" s="18">
        <v>110</v>
      </c>
      <c r="D15" s="3"/>
      <c r="E15" s="3"/>
      <c r="F15" s="3"/>
      <c r="G15" s="3"/>
      <c r="H15" s="3"/>
      <c r="I15" s="3"/>
      <c r="J15" s="16"/>
      <c r="K15" s="32"/>
      <c r="M15" s="1" t="s">
        <v>16</v>
      </c>
      <c r="N15" s="1" t="s">
        <v>17</v>
      </c>
    </row>
    <row r="16" spans="1:15" ht="15.75" thickBot="1" x14ac:dyDescent="0.3">
      <c r="A16" s="20"/>
      <c r="B16" s="10"/>
      <c r="D16" s="18"/>
      <c r="E16" s="3"/>
      <c r="F16" s="3"/>
      <c r="G16" s="3"/>
      <c r="H16" s="3"/>
      <c r="I16" s="3"/>
      <c r="J16" s="34"/>
      <c r="K16" s="20"/>
      <c r="M16">
        <f>FEES!C7</f>
        <v>0</v>
      </c>
      <c r="N16">
        <f>IF(M16&lt;=1000,H18,IF(AND(M16&gt;1000,M16&lt;=10000),H19,IF(AND(M16&gt;10000,M16&lt;=50000),H20,IF(AND(M16&gt;50000,M16&lt;=100000),H21,IF(AND(M16&gt;100000,M16&lt;=250000),H22,IF(M16&gt;250000,H23,""))))))</f>
        <v>0</v>
      </c>
    </row>
    <row r="17" spans="1:15" ht="18.75" x14ac:dyDescent="0.3">
      <c r="A17" s="20"/>
      <c r="B17" s="10"/>
      <c r="C17" s="19" t="s">
        <v>0</v>
      </c>
      <c r="D17" s="19"/>
      <c r="E17" s="1"/>
      <c r="F17" s="1" t="s">
        <v>2</v>
      </c>
      <c r="G17" s="1"/>
      <c r="H17" s="5" t="s">
        <v>2</v>
      </c>
      <c r="J17" s="33"/>
      <c r="K17" s="22"/>
      <c r="M17" s="2"/>
      <c r="N17" s="1"/>
    </row>
    <row r="18" spans="1:15" ht="18.75" x14ac:dyDescent="0.3">
      <c r="A18" s="20"/>
      <c r="B18" s="12" t="s">
        <v>4</v>
      </c>
      <c r="C18" s="13">
        <f t="shared" ref="C18:C23" si="2">$M$16</f>
        <v>0</v>
      </c>
      <c r="D18" s="85"/>
      <c r="F18" s="3">
        <v>110</v>
      </c>
      <c r="H18" s="84">
        <f>ROUNDUP(IF(OR(C18=0),(0),F18),0)</f>
        <v>0</v>
      </c>
      <c r="J18" s="33"/>
      <c r="K18" s="22"/>
      <c r="M18" s="2"/>
      <c r="N18" s="1"/>
    </row>
    <row r="19" spans="1:15" ht="18.75" x14ac:dyDescent="0.3">
      <c r="A19" s="20"/>
      <c r="B19" s="12" t="s">
        <v>29</v>
      </c>
      <c r="C19" s="13">
        <f t="shared" si="2"/>
        <v>0</v>
      </c>
      <c r="D19" s="85"/>
      <c r="F19" s="3">
        <f>SUM(C19*0.5%)+120</f>
        <v>120</v>
      </c>
      <c r="H19" s="84">
        <f>ROUNDUP(IF(OR(C19=0),(0),F19),0)</f>
        <v>0</v>
      </c>
      <c r="J19" s="33"/>
      <c r="K19" s="22"/>
      <c r="M19" s="2"/>
      <c r="N19" s="1"/>
    </row>
    <row r="20" spans="1:15" ht="18.75" x14ac:dyDescent="0.3">
      <c r="A20" s="20"/>
      <c r="B20" s="12" t="s">
        <v>30</v>
      </c>
      <c r="C20" s="13">
        <f t="shared" si="2"/>
        <v>0</v>
      </c>
      <c r="D20" s="85"/>
      <c r="F20" s="3">
        <f>SUM(C20*0.25%)+170</f>
        <v>170</v>
      </c>
      <c r="H20" s="84">
        <f>ROUNDUP(IF(OR(C20=0),(0),F20),0)</f>
        <v>0</v>
      </c>
      <c r="J20" s="33"/>
      <c r="K20" s="22"/>
      <c r="M20" s="2"/>
      <c r="N20" s="1"/>
    </row>
    <row r="21" spans="1:15" ht="18.75" x14ac:dyDescent="0.3">
      <c r="A21" s="20"/>
      <c r="B21" s="12" t="s">
        <v>6</v>
      </c>
      <c r="C21" s="13">
        <f t="shared" si="2"/>
        <v>0</v>
      </c>
      <c r="D21" s="85"/>
      <c r="F21" s="3">
        <f>SUM(C21*0.25%)+295</f>
        <v>295</v>
      </c>
      <c r="H21" s="84">
        <f t="shared" ref="H21:H23" si="3">ROUNDUP(IF(OR(C21=0),(0),F21),0)</f>
        <v>0</v>
      </c>
      <c r="J21" s="33"/>
      <c r="K21" s="22"/>
      <c r="M21" s="2"/>
      <c r="N21" s="1"/>
    </row>
    <row r="22" spans="1:15" ht="18.75" x14ac:dyDescent="0.3">
      <c r="A22" s="20"/>
      <c r="B22" s="12" t="s">
        <v>31</v>
      </c>
      <c r="C22" s="13">
        <f t="shared" si="2"/>
        <v>0</v>
      </c>
      <c r="D22" s="85"/>
      <c r="F22" s="3">
        <f>SUM(C22*0.125%)+545</f>
        <v>545</v>
      </c>
      <c r="H22" s="84">
        <f t="shared" si="3"/>
        <v>0</v>
      </c>
      <c r="J22" s="33"/>
      <c r="K22" s="22"/>
      <c r="M22" s="2"/>
      <c r="N22" s="1"/>
    </row>
    <row r="23" spans="1:15" ht="19.5" thickBot="1" x14ac:dyDescent="0.35">
      <c r="A23" s="20"/>
      <c r="B23" s="12" t="s">
        <v>32</v>
      </c>
      <c r="C23" s="13">
        <f t="shared" si="2"/>
        <v>0</v>
      </c>
      <c r="D23" s="3"/>
      <c r="E23" s="3"/>
      <c r="F23" s="3">
        <f>SUM(C23*0.125%)+857</f>
        <v>857</v>
      </c>
      <c r="G23" s="3"/>
      <c r="H23" s="44">
        <f t="shared" si="3"/>
        <v>0</v>
      </c>
      <c r="J23" s="34"/>
      <c r="K23" s="20"/>
      <c r="M23" s="3"/>
      <c r="N23" s="1"/>
    </row>
    <row r="24" spans="1:15" ht="19.5" thickBot="1" x14ac:dyDescent="0.35">
      <c r="A24" s="20"/>
      <c r="B24" s="12"/>
      <c r="C24" s="13"/>
      <c r="D24" s="3"/>
      <c r="E24" s="3"/>
      <c r="F24" s="3"/>
      <c r="G24" s="3"/>
      <c r="H24" s="54"/>
      <c r="J24" s="34"/>
      <c r="K24" s="20"/>
      <c r="M24" s="3"/>
      <c r="N24" s="1"/>
    </row>
    <row r="25" spans="1:15" ht="19.5" thickBot="1" x14ac:dyDescent="0.35">
      <c r="A25" s="20"/>
      <c r="B25" s="86"/>
      <c r="C25" s="87"/>
      <c r="D25" s="88"/>
      <c r="E25" s="88"/>
      <c r="F25" s="88"/>
      <c r="G25" s="88"/>
      <c r="H25" s="89"/>
      <c r="I25" s="90"/>
      <c r="J25" s="90"/>
      <c r="K25" s="20"/>
      <c r="M25" s="3"/>
      <c r="N25" s="1"/>
    </row>
    <row r="26" spans="1:15" ht="31.5" x14ac:dyDescent="0.5">
      <c r="A26" s="20"/>
      <c r="B26" s="7" t="s">
        <v>34</v>
      </c>
      <c r="C26" s="8"/>
      <c r="D26" s="8"/>
      <c r="E26" s="8"/>
      <c r="F26" s="8"/>
      <c r="G26" s="8"/>
      <c r="H26" s="8"/>
      <c r="I26" s="8"/>
      <c r="J26" s="40"/>
      <c r="K26" s="21"/>
      <c r="M26" s="116" t="s">
        <v>39</v>
      </c>
      <c r="N26" s="117"/>
      <c r="O26" s="117"/>
    </row>
    <row r="27" spans="1:15" ht="18.75" x14ac:dyDescent="0.3">
      <c r="A27" s="20"/>
      <c r="B27" s="17" t="s">
        <v>1</v>
      </c>
      <c r="C27" s="18">
        <v>100</v>
      </c>
      <c r="D27" s="3"/>
      <c r="E27" s="3"/>
      <c r="F27" s="3"/>
      <c r="G27" s="3"/>
      <c r="H27" s="54"/>
      <c r="J27" s="34"/>
      <c r="K27" s="20"/>
      <c r="M27" s="1" t="s">
        <v>40</v>
      </c>
      <c r="N27" s="1" t="s">
        <v>17</v>
      </c>
    </row>
    <row r="28" spans="1:15" ht="19.5" thickBot="1" x14ac:dyDescent="0.35">
      <c r="A28" s="20"/>
      <c r="B28" s="12"/>
      <c r="C28" s="13"/>
      <c r="D28" s="3"/>
      <c r="E28" s="3"/>
      <c r="F28" s="3"/>
      <c r="G28" s="3"/>
      <c r="H28" s="54"/>
      <c r="J28" s="34"/>
      <c r="K28" s="20"/>
      <c r="M28" s="96">
        <f>FEES!C11</f>
        <v>0</v>
      </c>
      <c r="N28" s="1">
        <f>IF(M28&lt;1000,H30,IF(AND(M28&gt;1000,M28&lt;=3000),H31,IF(M28&gt;3000,H32,"")))</f>
        <v>0</v>
      </c>
    </row>
    <row r="29" spans="1:15" ht="18.75" x14ac:dyDescent="0.3">
      <c r="A29" s="20"/>
      <c r="B29" s="12"/>
      <c r="C29" s="83" t="s">
        <v>35</v>
      </c>
      <c r="D29" s="3"/>
      <c r="E29" s="3"/>
      <c r="F29" s="1" t="s">
        <v>2</v>
      </c>
      <c r="G29" s="3"/>
      <c r="H29" s="6" t="s">
        <v>2</v>
      </c>
      <c r="J29" s="34"/>
      <c r="K29" s="20"/>
      <c r="M29" s="3"/>
      <c r="N29" s="1"/>
    </row>
    <row r="30" spans="1:15" ht="18.75" x14ac:dyDescent="0.3">
      <c r="A30" s="20"/>
      <c r="B30" s="12" t="s">
        <v>36</v>
      </c>
      <c r="C30" s="91">
        <f>$M$28</f>
        <v>0</v>
      </c>
      <c r="D30" s="3"/>
      <c r="E30" s="3"/>
      <c r="F30" s="3">
        <v>100</v>
      </c>
      <c r="G30" s="3"/>
      <c r="H30" s="45">
        <f>ROUNDUP(IF(OR(C30=0),(0),F30),0)</f>
        <v>0</v>
      </c>
      <c r="J30" s="34"/>
      <c r="K30" s="20"/>
      <c r="M30" s="3"/>
      <c r="N30" s="1"/>
    </row>
    <row r="31" spans="1:15" ht="18.75" x14ac:dyDescent="0.3">
      <c r="A31" s="20"/>
      <c r="B31" s="12" t="s">
        <v>37</v>
      </c>
      <c r="C31" s="91">
        <f t="shared" ref="C31:C32" si="4">$M$28</f>
        <v>0</v>
      </c>
      <c r="D31" s="3"/>
      <c r="E31" s="3"/>
      <c r="F31" s="3">
        <v>120</v>
      </c>
      <c r="G31" s="3"/>
      <c r="H31" s="45">
        <v>120</v>
      </c>
      <c r="J31" s="34"/>
      <c r="K31" s="20"/>
      <c r="M31" s="3"/>
      <c r="N31" s="1"/>
    </row>
    <row r="32" spans="1:15" ht="19.5" thickBot="1" x14ac:dyDescent="0.35">
      <c r="A32" s="20"/>
      <c r="B32" s="12" t="s">
        <v>38</v>
      </c>
      <c r="C32" s="91">
        <f t="shared" si="4"/>
        <v>0</v>
      </c>
      <c r="D32" s="3"/>
      <c r="E32" s="3"/>
      <c r="F32" s="3">
        <v>160</v>
      </c>
      <c r="G32" s="3"/>
      <c r="H32" s="48">
        <v>160</v>
      </c>
      <c r="J32" s="34"/>
      <c r="K32" s="20"/>
      <c r="M32" s="3"/>
      <c r="N32" s="1"/>
    </row>
    <row r="33" spans="1:14" ht="15.75" thickBot="1" x14ac:dyDescent="0.3">
      <c r="A33" s="20"/>
      <c r="B33" s="38"/>
      <c r="C33" s="39"/>
      <c r="D33" s="39"/>
      <c r="E33" s="39"/>
      <c r="F33" s="39"/>
      <c r="G33" s="39"/>
      <c r="H33" s="39"/>
      <c r="I33" s="39"/>
      <c r="J33" s="41"/>
      <c r="K33" s="20"/>
    </row>
    <row r="34" spans="1:14" ht="15.75" thickBot="1" x14ac:dyDescent="0.3">
      <c r="A34" s="20"/>
      <c r="B34" s="20"/>
      <c r="C34" s="20"/>
      <c r="D34" s="28" t="s">
        <v>10</v>
      </c>
      <c r="E34" s="25"/>
      <c r="F34" s="25"/>
      <c r="G34" s="20"/>
      <c r="H34" s="20"/>
      <c r="I34" s="20"/>
      <c r="J34" s="20"/>
      <c r="K34" s="20"/>
    </row>
    <row r="35" spans="1:14" ht="31.5" x14ac:dyDescent="0.5">
      <c r="A35" s="20"/>
      <c r="B35" s="7" t="s">
        <v>44</v>
      </c>
      <c r="C35" s="8"/>
      <c r="D35" s="8"/>
      <c r="E35" s="8"/>
      <c r="F35" s="8"/>
      <c r="G35" s="8"/>
      <c r="H35" s="8"/>
      <c r="I35" s="8"/>
      <c r="J35" s="9"/>
      <c r="K35" s="20"/>
      <c r="M35" s="81" t="s">
        <v>22</v>
      </c>
    </row>
    <row r="36" spans="1:14" ht="18.75" x14ac:dyDescent="0.3">
      <c r="A36" s="20"/>
      <c r="B36" s="17" t="s">
        <v>1</v>
      </c>
      <c r="C36" s="18">
        <v>355</v>
      </c>
      <c r="D36" s="3"/>
      <c r="E36" s="3"/>
      <c r="F36" s="3"/>
      <c r="G36" s="3"/>
      <c r="H36" s="54"/>
      <c r="J36" s="34"/>
      <c r="K36" s="20"/>
      <c r="M36" s="81"/>
    </row>
    <row r="37" spans="1:14" ht="19.5" thickBot="1" x14ac:dyDescent="0.35">
      <c r="A37" s="20"/>
      <c r="B37" s="17"/>
      <c r="C37" s="18"/>
      <c r="D37" s="3"/>
      <c r="E37" s="3"/>
      <c r="F37" s="3"/>
      <c r="G37" s="3"/>
      <c r="H37" s="54"/>
      <c r="J37" s="34"/>
      <c r="K37" s="20"/>
      <c r="M37" s="81"/>
    </row>
    <row r="38" spans="1:14" ht="18.75" x14ac:dyDescent="0.3">
      <c r="A38" s="20"/>
      <c r="B38" s="10"/>
      <c r="C38" s="83" t="s">
        <v>35</v>
      </c>
      <c r="D38" s="11"/>
      <c r="E38" s="1" t="s">
        <v>42</v>
      </c>
      <c r="F38" s="11" t="s">
        <v>43</v>
      </c>
      <c r="G38" s="11"/>
      <c r="H38" s="6" t="s">
        <v>2</v>
      </c>
      <c r="J38" s="34"/>
      <c r="K38" s="20"/>
      <c r="M38" s="1" t="s">
        <v>40</v>
      </c>
      <c r="N38" s="1" t="s">
        <v>17</v>
      </c>
    </row>
    <row r="39" spans="1:14" ht="19.5" thickBot="1" x14ac:dyDescent="0.35">
      <c r="A39" s="20"/>
      <c r="B39" s="12" t="s">
        <v>41</v>
      </c>
      <c r="C39" s="91">
        <f>$M$39</f>
        <v>0</v>
      </c>
      <c r="D39" s="3"/>
      <c r="E39" s="3">
        <f>(C39*0.33)</f>
        <v>0</v>
      </c>
      <c r="F39" s="4">
        <v>355</v>
      </c>
      <c r="G39" s="4"/>
      <c r="H39" s="48">
        <f>MAX(E39,F39)</f>
        <v>355</v>
      </c>
      <c r="J39" s="34"/>
      <c r="K39" s="20"/>
      <c r="M39">
        <f>FEES!C16</f>
        <v>0</v>
      </c>
      <c r="N39" s="3">
        <f>MAX(E39,F39)</f>
        <v>355</v>
      </c>
    </row>
    <row r="40" spans="1:14" ht="15.75" thickBot="1" x14ac:dyDescent="0.3">
      <c r="A40" s="20"/>
      <c r="B40" s="38"/>
      <c r="C40" s="39"/>
      <c r="D40" s="39"/>
      <c r="E40" s="39"/>
      <c r="F40" s="39"/>
      <c r="G40" s="39"/>
      <c r="H40" s="39"/>
      <c r="I40" s="39"/>
      <c r="J40" s="41"/>
      <c r="K40" s="20"/>
    </row>
    <row r="41" spans="1:14" ht="15.75" thickBot="1" x14ac:dyDescent="0.3">
      <c r="A41" s="20"/>
      <c r="B41" s="20"/>
      <c r="C41" s="20"/>
      <c r="D41" s="28" t="s">
        <v>10</v>
      </c>
      <c r="E41" s="27"/>
      <c r="F41" s="27"/>
      <c r="G41" s="20"/>
      <c r="H41" s="20"/>
      <c r="I41" s="20"/>
      <c r="J41" s="20"/>
      <c r="K41" s="20"/>
    </row>
    <row r="42" spans="1:14" ht="31.5" x14ac:dyDescent="0.5">
      <c r="A42" s="20"/>
      <c r="B42" s="7" t="s">
        <v>45</v>
      </c>
      <c r="C42" s="8"/>
      <c r="D42" s="8"/>
      <c r="E42" s="8"/>
      <c r="F42" s="8"/>
      <c r="G42" s="8"/>
      <c r="H42" s="8"/>
      <c r="I42" s="8"/>
      <c r="J42" s="9"/>
      <c r="K42" s="20"/>
    </row>
    <row r="43" spans="1:14" ht="18.75" x14ac:dyDescent="0.3">
      <c r="A43" s="20"/>
      <c r="B43" s="17" t="s">
        <v>1</v>
      </c>
      <c r="C43" s="18">
        <v>100</v>
      </c>
      <c r="D43" s="3"/>
      <c r="E43" s="3"/>
      <c r="F43" s="3"/>
      <c r="G43" s="3"/>
      <c r="H43" s="54"/>
      <c r="J43" s="34"/>
      <c r="K43" s="20"/>
      <c r="M43" s="81" t="s">
        <v>66</v>
      </c>
    </row>
    <row r="44" spans="1:14" ht="19.5" thickBot="1" x14ac:dyDescent="0.35">
      <c r="A44" s="20"/>
      <c r="B44" s="17"/>
      <c r="C44" s="18"/>
      <c r="D44" s="3"/>
      <c r="E44" s="3"/>
      <c r="F44" s="3"/>
      <c r="G44" s="3"/>
      <c r="H44" s="54"/>
      <c r="J44" s="34"/>
      <c r="K44" s="20"/>
      <c r="M44" s="1" t="s">
        <v>40</v>
      </c>
      <c r="N44" s="1" t="s">
        <v>17</v>
      </c>
    </row>
    <row r="45" spans="1:14" ht="18.75" x14ac:dyDescent="0.3">
      <c r="A45" s="20"/>
      <c r="B45" s="10"/>
      <c r="C45" s="83" t="s">
        <v>35</v>
      </c>
      <c r="D45" s="11"/>
      <c r="E45" s="1" t="s">
        <v>42</v>
      </c>
      <c r="F45" s="11" t="s">
        <v>43</v>
      </c>
      <c r="G45" s="11"/>
      <c r="H45" s="6" t="s">
        <v>2</v>
      </c>
      <c r="J45" s="34"/>
      <c r="K45" s="20"/>
      <c r="M45">
        <f>FEES!C20</f>
        <v>0</v>
      </c>
      <c r="N45" s="3">
        <f>MAX(E46,F46)</f>
        <v>100</v>
      </c>
    </row>
    <row r="46" spans="1:14" ht="19.5" thickBot="1" x14ac:dyDescent="0.35">
      <c r="A46" s="20"/>
      <c r="B46" s="12" t="s">
        <v>41</v>
      </c>
      <c r="C46" s="91">
        <f>$M$45</f>
        <v>0</v>
      </c>
      <c r="D46" s="3"/>
      <c r="E46" s="3">
        <f>(C46*0.33)</f>
        <v>0</v>
      </c>
      <c r="F46" s="4">
        <v>100</v>
      </c>
      <c r="G46" s="4"/>
      <c r="H46" s="48">
        <f>MAX(E46,F46)</f>
        <v>100</v>
      </c>
      <c r="J46" s="34"/>
      <c r="K46" s="20"/>
    </row>
    <row r="47" spans="1:14" ht="15.75" thickBot="1" x14ac:dyDescent="0.3">
      <c r="A47" s="20"/>
      <c r="B47" s="38"/>
      <c r="C47" s="39"/>
      <c r="D47" s="39"/>
      <c r="E47" s="39"/>
      <c r="F47" s="39"/>
      <c r="G47" s="39"/>
      <c r="H47" s="39"/>
      <c r="I47" s="39"/>
      <c r="J47" s="41"/>
      <c r="K47" s="20"/>
    </row>
    <row r="48" spans="1:14" ht="15.75" thickBot="1" x14ac:dyDescent="0.3">
      <c r="A48" s="20"/>
      <c r="B48" s="20"/>
      <c r="C48" s="20"/>
      <c r="D48" s="28" t="s">
        <v>10</v>
      </c>
      <c r="E48" s="27"/>
      <c r="F48" s="27"/>
      <c r="G48" s="20"/>
      <c r="H48" s="20"/>
      <c r="I48" s="20"/>
      <c r="J48" s="20"/>
      <c r="K48" s="20"/>
    </row>
    <row r="49" spans="1:14" ht="31.5" x14ac:dyDescent="0.5">
      <c r="A49" s="20"/>
      <c r="B49" s="7" t="s">
        <v>46</v>
      </c>
      <c r="C49" s="8"/>
      <c r="D49" s="8"/>
      <c r="E49" s="8"/>
      <c r="F49" s="8"/>
      <c r="G49" s="8"/>
      <c r="H49" s="8"/>
      <c r="I49" s="8"/>
      <c r="J49" s="9"/>
      <c r="K49" s="20"/>
      <c r="M49" s="81" t="s">
        <v>67</v>
      </c>
    </row>
    <row r="50" spans="1:14" ht="18.75" x14ac:dyDescent="0.3">
      <c r="A50" s="20"/>
      <c r="B50" s="17" t="s">
        <v>1</v>
      </c>
      <c r="C50" s="18">
        <v>100</v>
      </c>
      <c r="D50" s="3"/>
      <c r="E50" s="3"/>
      <c r="F50" s="3"/>
      <c r="G50" s="3"/>
      <c r="H50" s="54"/>
      <c r="J50" s="34"/>
      <c r="K50" s="20"/>
      <c r="M50" s="1" t="s">
        <v>40</v>
      </c>
      <c r="N50" s="1" t="s">
        <v>17</v>
      </c>
    </row>
    <row r="51" spans="1:14" ht="19.5" thickBot="1" x14ac:dyDescent="0.35">
      <c r="A51" s="20"/>
      <c r="B51" s="17"/>
      <c r="C51" s="18"/>
      <c r="D51" s="3"/>
      <c r="E51" s="3"/>
      <c r="F51" s="3"/>
      <c r="G51" s="3"/>
      <c r="H51" s="54"/>
      <c r="J51" s="34"/>
      <c r="K51" s="20"/>
      <c r="M51" s="96">
        <f>FEES!C24</f>
        <v>0</v>
      </c>
      <c r="N51" s="3">
        <f>MAX(E53,F53)</f>
        <v>100</v>
      </c>
    </row>
    <row r="52" spans="1:14" ht="18.75" x14ac:dyDescent="0.3">
      <c r="A52" s="20"/>
      <c r="B52" s="10"/>
      <c r="C52" s="83" t="s">
        <v>35</v>
      </c>
      <c r="D52" s="11"/>
      <c r="E52" s="1" t="s">
        <v>42</v>
      </c>
      <c r="F52" s="11" t="s">
        <v>43</v>
      </c>
      <c r="G52" s="11"/>
      <c r="H52" s="6" t="s">
        <v>2</v>
      </c>
      <c r="J52" s="34"/>
      <c r="K52" s="20"/>
    </row>
    <row r="53" spans="1:14" ht="19.5" thickBot="1" x14ac:dyDescent="0.35">
      <c r="A53" s="20"/>
      <c r="B53" s="12" t="s">
        <v>47</v>
      </c>
      <c r="C53" s="91">
        <f>$M$51</f>
        <v>0</v>
      </c>
      <c r="D53" s="3"/>
      <c r="E53" s="3">
        <f>(C53*0.1)</f>
        <v>0</v>
      </c>
      <c r="F53" s="4">
        <v>100</v>
      </c>
      <c r="G53" s="4"/>
      <c r="H53" s="48">
        <f>MAX(E53,F53)</f>
        <v>100</v>
      </c>
      <c r="J53" s="34"/>
      <c r="K53" s="20"/>
    </row>
    <row r="54" spans="1:14" ht="15.75" thickBot="1" x14ac:dyDescent="0.3">
      <c r="A54" s="20"/>
      <c r="B54" s="38"/>
      <c r="C54" s="39"/>
      <c r="D54" s="39"/>
      <c r="E54" s="39"/>
      <c r="F54" s="39"/>
      <c r="G54" s="39"/>
      <c r="H54" s="39"/>
      <c r="I54" s="39"/>
      <c r="J54" s="41"/>
      <c r="K54" s="20"/>
    </row>
    <row r="55" spans="1:14" ht="15.75" thickBot="1" x14ac:dyDescent="0.3">
      <c r="A55" s="20"/>
      <c r="B55" s="20"/>
      <c r="C55" s="20"/>
      <c r="D55" s="28" t="s">
        <v>10</v>
      </c>
      <c r="E55" s="27"/>
      <c r="F55" s="27"/>
      <c r="G55" s="20"/>
      <c r="H55" s="20"/>
      <c r="I55" s="20"/>
      <c r="J55" s="20"/>
      <c r="K55" s="20"/>
    </row>
    <row r="56" spans="1:14" ht="28.5" x14ac:dyDescent="0.45">
      <c r="A56" s="20"/>
      <c r="B56" s="92" t="s">
        <v>48</v>
      </c>
      <c r="C56" s="8"/>
      <c r="D56" s="8"/>
      <c r="E56" s="8"/>
      <c r="F56" s="8"/>
      <c r="G56" s="8"/>
      <c r="H56" s="8"/>
      <c r="I56" s="8"/>
      <c r="J56" s="9"/>
      <c r="K56" s="20"/>
      <c r="M56" s="81" t="s">
        <v>68</v>
      </c>
    </row>
    <row r="57" spans="1:14" ht="18.75" x14ac:dyDescent="0.3">
      <c r="A57" s="20"/>
      <c r="B57" s="17" t="s">
        <v>1</v>
      </c>
      <c r="C57" s="18">
        <v>100</v>
      </c>
      <c r="D57" s="3"/>
      <c r="E57" s="3"/>
      <c r="F57" s="3"/>
      <c r="G57" s="3"/>
      <c r="H57" s="54"/>
      <c r="J57" s="34"/>
      <c r="K57" s="20"/>
      <c r="M57" s="1" t="s">
        <v>40</v>
      </c>
      <c r="N57" s="1" t="s">
        <v>17</v>
      </c>
    </row>
    <row r="58" spans="1:14" ht="19.5" thickBot="1" x14ac:dyDescent="0.35">
      <c r="A58" s="20"/>
      <c r="B58" s="17"/>
      <c r="C58" s="18"/>
      <c r="D58" s="3"/>
      <c r="E58" s="3"/>
      <c r="F58" s="3"/>
      <c r="G58" s="3"/>
      <c r="H58" s="54"/>
      <c r="J58" s="34"/>
      <c r="K58" s="20"/>
      <c r="M58" s="96">
        <f>FEES!C28</f>
        <v>0</v>
      </c>
      <c r="N58" s="3">
        <f>MAX(E60,F60)</f>
        <v>100</v>
      </c>
    </row>
    <row r="59" spans="1:14" ht="18.75" x14ac:dyDescent="0.3">
      <c r="A59" s="20"/>
      <c r="B59" s="10"/>
      <c r="C59" s="83" t="s">
        <v>35</v>
      </c>
      <c r="D59" s="11"/>
      <c r="E59" s="1" t="s">
        <v>42</v>
      </c>
      <c r="F59" s="11" t="s">
        <v>43</v>
      </c>
      <c r="G59" s="11"/>
      <c r="H59" s="6" t="s">
        <v>2</v>
      </c>
      <c r="J59" s="34"/>
      <c r="K59" s="20"/>
    </row>
    <row r="60" spans="1:14" ht="19.5" thickBot="1" x14ac:dyDescent="0.35">
      <c r="A60" s="20"/>
      <c r="B60" s="12" t="s">
        <v>47</v>
      </c>
      <c r="C60" s="91">
        <f>$M$58</f>
        <v>0</v>
      </c>
      <c r="D60" s="3"/>
      <c r="E60" s="3">
        <f>(C60*0.15)</f>
        <v>0</v>
      </c>
      <c r="F60" s="4">
        <v>100</v>
      </c>
      <c r="G60" s="4"/>
      <c r="H60" s="48">
        <f>MAX(E60,F60)</f>
        <v>100</v>
      </c>
      <c r="J60" s="34"/>
      <c r="K60" s="20"/>
    </row>
    <row r="61" spans="1:14" ht="15.75" thickBot="1" x14ac:dyDescent="0.3">
      <c r="A61" s="20"/>
      <c r="B61" s="38"/>
      <c r="C61" s="39"/>
      <c r="D61" s="39"/>
      <c r="E61" s="39"/>
      <c r="F61" s="39"/>
      <c r="G61" s="39"/>
      <c r="H61" s="39"/>
      <c r="I61" s="39"/>
      <c r="J61" s="41"/>
      <c r="K61" s="20"/>
    </row>
    <row r="62" spans="1:14" ht="15.75" thickBot="1" x14ac:dyDescent="0.3">
      <c r="A62" s="20"/>
      <c r="B62" s="20"/>
      <c r="C62" s="20"/>
      <c r="D62" s="28" t="s">
        <v>10</v>
      </c>
      <c r="E62" s="27"/>
      <c r="F62" s="27"/>
      <c r="G62" s="20"/>
      <c r="H62" s="20"/>
      <c r="I62" s="20"/>
      <c r="J62" s="20"/>
      <c r="K62" s="20"/>
    </row>
    <row r="63" spans="1:14" ht="31.5" x14ac:dyDescent="0.5">
      <c r="A63" s="20"/>
      <c r="B63" s="7" t="s">
        <v>49</v>
      </c>
      <c r="C63" s="8"/>
      <c r="D63" s="8"/>
      <c r="E63" s="8"/>
      <c r="F63" s="8"/>
      <c r="G63" s="8"/>
      <c r="H63" s="8"/>
      <c r="I63" s="8"/>
      <c r="J63" s="40"/>
      <c r="K63" s="21"/>
      <c r="M63" s="81" t="s">
        <v>69</v>
      </c>
    </row>
    <row r="64" spans="1:14" ht="18.75" x14ac:dyDescent="0.3">
      <c r="A64" s="20"/>
      <c r="B64" s="17" t="s">
        <v>1</v>
      </c>
      <c r="C64" s="18">
        <v>100</v>
      </c>
      <c r="D64" s="3"/>
      <c r="E64" s="3"/>
      <c r="F64" s="3"/>
      <c r="G64" s="3"/>
      <c r="H64" s="54"/>
      <c r="J64" s="34"/>
      <c r="K64" s="20"/>
      <c r="M64" s="1" t="s">
        <v>40</v>
      </c>
      <c r="N64" s="1" t="s">
        <v>17</v>
      </c>
    </row>
    <row r="65" spans="1:14" ht="19.5" thickBot="1" x14ac:dyDescent="0.35">
      <c r="A65" s="20"/>
      <c r="B65" s="12"/>
      <c r="C65" s="13"/>
      <c r="D65" s="3"/>
      <c r="E65" s="3"/>
      <c r="F65" s="3"/>
      <c r="G65" s="3"/>
      <c r="H65" s="54"/>
      <c r="J65" s="34"/>
      <c r="K65" s="20"/>
      <c r="M65" s="96">
        <f>FEES!C32</f>
        <v>0</v>
      </c>
      <c r="N65" s="3">
        <f>IF(M65&lt;1000,H67,IF(AND(M65&gt;1000,M65&lt;=3000),H68,IF(M65&gt;3000,H69,"")))</f>
        <v>0</v>
      </c>
    </row>
    <row r="66" spans="1:14" ht="18.75" x14ac:dyDescent="0.3">
      <c r="A66" s="20"/>
      <c r="B66" s="12"/>
      <c r="C66" s="83" t="s">
        <v>35</v>
      </c>
      <c r="D66" s="3"/>
      <c r="E66" s="3"/>
      <c r="F66" s="1" t="s">
        <v>2</v>
      </c>
      <c r="G66" s="3"/>
      <c r="H66" s="6" t="s">
        <v>2</v>
      </c>
      <c r="J66" s="34"/>
      <c r="K66" s="20"/>
    </row>
    <row r="67" spans="1:14" ht="18.75" x14ac:dyDescent="0.3">
      <c r="A67" s="20"/>
      <c r="B67" s="12" t="s">
        <v>36</v>
      </c>
      <c r="C67" s="91">
        <f>$M$65</f>
        <v>0</v>
      </c>
      <c r="D67" s="3"/>
      <c r="E67" s="3"/>
      <c r="F67" s="3">
        <v>100</v>
      </c>
      <c r="G67" s="3"/>
      <c r="H67" s="45">
        <f>ROUNDUP(IF(OR(C67=0),(0),F67),0)</f>
        <v>0</v>
      </c>
      <c r="J67" s="34"/>
      <c r="K67" s="20"/>
    </row>
    <row r="68" spans="1:14" ht="18.75" x14ac:dyDescent="0.3">
      <c r="A68" s="20"/>
      <c r="B68" s="12" t="s">
        <v>37</v>
      </c>
      <c r="C68" s="91">
        <f t="shared" ref="C68:C69" si="5">$M$65</f>
        <v>0</v>
      </c>
      <c r="D68" s="3"/>
      <c r="E68" s="3"/>
      <c r="F68" s="3">
        <v>120</v>
      </c>
      <c r="G68" s="3"/>
      <c r="H68" s="84">
        <v>120</v>
      </c>
      <c r="J68" s="34"/>
      <c r="K68" s="20"/>
    </row>
    <row r="69" spans="1:14" ht="19.5" thickBot="1" x14ac:dyDescent="0.35">
      <c r="A69" s="20"/>
      <c r="B69" s="12" t="s">
        <v>38</v>
      </c>
      <c r="C69" s="91">
        <f t="shared" si="5"/>
        <v>0</v>
      </c>
      <c r="D69" s="3"/>
      <c r="E69" s="3"/>
      <c r="F69" s="3">
        <v>160</v>
      </c>
      <c r="G69" s="3"/>
      <c r="H69" s="44">
        <v>160</v>
      </c>
      <c r="J69" s="34"/>
      <c r="K69" s="20"/>
    </row>
    <row r="70" spans="1:14" ht="15.75" thickBot="1" x14ac:dyDescent="0.3">
      <c r="A70" s="20"/>
      <c r="B70" s="38"/>
      <c r="C70" s="39"/>
      <c r="D70" s="39"/>
      <c r="E70" s="39"/>
      <c r="F70" s="39"/>
      <c r="G70" s="39"/>
      <c r="H70" s="39"/>
      <c r="I70" s="39"/>
      <c r="J70" s="41"/>
      <c r="K70" s="20"/>
    </row>
    <row r="71" spans="1:14" ht="15.75" thickBot="1" x14ac:dyDescent="0.3">
      <c r="A71" s="20"/>
      <c r="B71" s="20"/>
      <c r="C71" s="20"/>
      <c r="D71" s="28" t="s">
        <v>10</v>
      </c>
      <c r="E71" s="25"/>
      <c r="F71" s="25"/>
      <c r="G71" s="20"/>
      <c r="H71" s="20"/>
      <c r="I71" s="20"/>
      <c r="J71" s="20"/>
      <c r="K71" s="20"/>
    </row>
    <row r="72" spans="1:14" ht="31.5" x14ac:dyDescent="0.5">
      <c r="A72" s="20"/>
      <c r="B72" s="7" t="s">
        <v>50</v>
      </c>
      <c r="C72" s="8"/>
      <c r="D72" s="8"/>
      <c r="E72" s="8"/>
      <c r="F72" s="8"/>
      <c r="G72" s="8"/>
      <c r="H72" s="8"/>
      <c r="I72" s="8"/>
      <c r="J72" s="40"/>
      <c r="K72" s="21"/>
      <c r="M72" s="81" t="s">
        <v>70</v>
      </c>
    </row>
    <row r="73" spans="1:14" ht="18.75" x14ac:dyDescent="0.3">
      <c r="A73" s="20"/>
      <c r="B73" s="17" t="s">
        <v>1</v>
      </c>
      <c r="C73" s="18">
        <v>100</v>
      </c>
      <c r="D73" s="3"/>
      <c r="E73" s="3"/>
      <c r="F73" s="3"/>
      <c r="G73" s="3"/>
      <c r="H73" s="54"/>
      <c r="J73" s="34"/>
      <c r="K73" s="20"/>
      <c r="M73" s="1" t="s">
        <v>40</v>
      </c>
      <c r="N73" s="1" t="s">
        <v>17</v>
      </c>
    </row>
    <row r="74" spans="1:14" ht="19.5" thickBot="1" x14ac:dyDescent="0.35">
      <c r="A74" s="20"/>
      <c r="B74" s="12"/>
      <c r="C74" s="13"/>
      <c r="D74" s="3"/>
      <c r="E74" s="3"/>
      <c r="F74" s="3"/>
      <c r="G74" s="3"/>
      <c r="H74" s="54"/>
      <c r="J74" s="34"/>
      <c r="K74" s="20"/>
      <c r="M74" s="96">
        <f>FEES!C36</f>
        <v>0</v>
      </c>
      <c r="N74" s="3">
        <f>IF(M74&lt;1000,H76,IF(M74&gt;1000,H77,""))</f>
        <v>0</v>
      </c>
    </row>
    <row r="75" spans="1:14" ht="18.75" x14ac:dyDescent="0.3">
      <c r="A75" s="20"/>
      <c r="B75" s="12"/>
      <c r="C75" s="83" t="s">
        <v>35</v>
      </c>
      <c r="D75" s="3"/>
      <c r="E75" s="3"/>
      <c r="F75" s="1" t="s">
        <v>2</v>
      </c>
      <c r="G75" s="3"/>
      <c r="H75" s="6" t="s">
        <v>2</v>
      </c>
      <c r="J75" s="34"/>
      <c r="K75" s="20"/>
    </row>
    <row r="76" spans="1:14" ht="18.75" x14ac:dyDescent="0.3">
      <c r="A76" s="20"/>
      <c r="B76" s="12" t="s">
        <v>36</v>
      </c>
      <c r="C76" s="91">
        <f>$M$74</f>
        <v>0</v>
      </c>
      <c r="D76" s="3"/>
      <c r="E76" s="3"/>
      <c r="F76" s="3">
        <v>100</v>
      </c>
      <c r="G76" s="3"/>
      <c r="H76" s="45"/>
      <c r="J76" s="34"/>
      <c r="K76" s="20"/>
    </row>
    <row r="77" spans="1:14" ht="19.5" thickBot="1" x14ac:dyDescent="0.35">
      <c r="A77" s="20"/>
      <c r="B77" s="12" t="s">
        <v>51</v>
      </c>
      <c r="C77" s="91">
        <f>$M$74</f>
        <v>0</v>
      </c>
      <c r="D77" s="3"/>
      <c r="E77" s="3"/>
      <c r="F77" s="3">
        <v>110</v>
      </c>
      <c r="G77" s="3"/>
      <c r="H77" s="44"/>
      <c r="J77" s="34"/>
      <c r="K77" s="20"/>
    </row>
    <row r="78" spans="1:14" ht="15.75" thickBot="1" x14ac:dyDescent="0.3">
      <c r="A78" s="20"/>
      <c r="B78" s="38"/>
      <c r="C78" s="39"/>
      <c r="D78" s="39"/>
      <c r="E78" s="39"/>
      <c r="F78" s="39"/>
      <c r="G78" s="39"/>
      <c r="H78" s="39"/>
      <c r="I78" s="39"/>
      <c r="J78" s="41"/>
      <c r="K78" s="20"/>
    </row>
    <row r="79" spans="1:14" ht="15.75" thickBot="1" x14ac:dyDescent="0.3">
      <c r="A79" s="20"/>
      <c r="B79" s="20"/>
      <c r="C79" s="20"/>
      <c r="D79" s="28" t="s">
        <v>10</v>
      </c>
      <c r="E79" s="25"/>
      <c r="F79" s="25"/>
      <c r="G79" s="20"/>
      <c r="H79" s="20"/>
      <c r="I79" s="20"/>
      <c r="J79" s="20"/>
      <c r="K79" s="20"/>
    </row>
    <row r="80" spans="1:14" ht="31.5" x14ac:dyDescent="0.5">
      <c r="A80" s="20"/>
      <c r="B80" s="7" t="s">
        <v>52</v>
      </c>
      <c r="C80" s="8"/>
      <c r="D80" s="8"/>
      <c r="E80" s="8"/>
      <c r="F80" s="8"/>
      <c r="G80" s="8"/>
      <c r="H80" s="8"/>
      <c r="I80" s="8"/>
      <c r="J80" s="40"/>
      <c r="K80" s="21"/>
      <c r="M80" s="81" t="s">
        <v>71</v>
      </c>
    </row>
    <row r="81" spans="1:14" ht="18.75" x14ac:dyDescent="0.3">
      <c r="A81" s="20"/>
      <c r="B81" s="17" t="s">
        <v>53</v>
      </c>
      <c r="C81" s="18">
        <v>20</v>
      </c>
      <c r="D81" s="3"/>
      <c r="E81" s="3"/>
      <c r="F81" s="3"/>
      <c r="G81" s="3"/>
      <c r="H81" s="54"/>
      <c r="J81" s="34"/>
      <c r="K81" s="20"/>
      <c r="M81" s="1" t="s">
        <v>57</v>
      </c>
      <c r="N81" s="1" t="s">
        <v>17</v>
      </c>
    </row>
    <row r="82" spans="1:14" ht="18.75" x14ac:dyDescent="0.3">
      <c r="A82" s="20"/>
      <c r="B82" s="17" t="s">
        <v>1</v>
      </c>
      <c r="C82" s="18">
        <v>100</v>
      </c>
      <c r="D82" s="3"/>
      <c r="E82" s="3"/>
      <c r="F82" s="3"/>
      <c r="G82" s="3"/>
      <c r="H82" s="54"/>
      <c r="J82" s="34"/>
      <c r="K82" s="20"/>
      <c r="M82" s="96">
        <f>FEES!C40</f>
        <v>0</v>
      </c>
      <c r="N82" s="3">
        <f>IF(M82&lt;5,H85,IF(AND(M82&gt;5,M82&lt;=20),H86,IF(M82&gt;20,H87,"")))</f>
        <v>0</v>
      </c>
    </row>
    <row r="83" spans="1:14" ht="19.5" thickBot="1" x14ac:dyDescent="0.35">
      <c r="A83" s="20"/>
      <c r="B83" s="17"/>
      <c r="C83" s="18"/>
      <c r="D83" s="3"/>
      <c r="E83" s="3"/>
      <c r="F83" s="3"/>
      <c r="G83" s="3"/>
      <c r="H83" s="54"/>
      <c r="J83" s="34"/>
      <c r="K83" s="20"/>
    </row>
    <row r="84" spans="1:14" ht="18.75" x14ac:dyDescent="0.3">
      <c r="A84" s="20"/>
      <c r="B84" s="12"/>
      <c r="C84" s="83" t="s">
        <v>57</v>
      </c>
      <c r="D84" s="3"/>
      <c r="E84" s="3"/>
      <c r="F84" s="1" t="s">
        <v>2</v>
      </c>
      <c r="G84" s="3"/>
      <c r="H84" s="6" t="s">
        <v>2</v>
      </c>
      <c r="J84" s="34"/>
      <c r="K84" s="20"/>
    </row>
    <row r="85" spans="1:14" ht="18.75" x14ac:dyDescent="0.3">
      <c r="A85" s="20"/>
      <c r="B85" s="12" t="s">
        <v>54</v>
      </c>
      <c r="C85" s="91">
        <f>$M$82</f>
        <v>0</v>
      </c>
      <c r="D85" s="3"/>
      <c r="E85" s="3"/>
      <c r="F85" s="3">
        <v>100</v>
      </c>
      <c r="G85" s="3"/>
      <c r="H85" s="45">
        <f>ROUNDUP(IF(OR(C85=0),(0),F85),0)</f>
        <v>0</v>
      </c>
      <c r="J85" s="34"/>
      <c r="K85" s="20"/>
    </row>
    <row r="86" spans="1:14" ht="18.75" x14ac:dyDescent="0.3">
      <c r="A86" s="20"/>
      <c r="B86" s="12" t="s">
        <v>55</v>
      </c>
      <c r="C86" s="91">
        <f t="shared" ref="C86:C87" si="6">$M$82</f>
        <v>0</v>
      </c>
      <c r="D86" s="3"/>
      <c r="E86" s="3"/>
      <c r="F86" s="3">
        <v>110</v>
      </c>
      <c r="G86" s="3"/>
      <c r="H86" s="84">
        <v>120</v>
      </c>
      <c r="J86" s="34"/>
      <c r="K86" s="20"/>
    </row>
    <row r="87" spans="1:14" ht="19.5" thickBot="1" x14ac:dyDescent="0.35">
      <c r="A87" s="20"/>
      <c r="B87" s="12" t="s">
        <v>56</v>
      </c>
      <c r="C87" s="91">
        <f t="shared" si="6"/>
        <v>0</v>
      </c>
      <c r="D87" s="3"/>
      <c r="E87" s="3"/>
      <c r="F87" s="3">
        <v>120</v>
      </c>
      <c r="G87" s="3"/>
      <c r="H87" s="44">
        <v>160</v>
      </c>
      <c r="J87" s="34"/>
      <c r="K87" s="20"/>
    </row>
    <row r="88" spans="1:14" ht="15.75" thickBot="1" x14ac:dyDescent="0.3">
      <c r="A88" s="20"/>
      <c r="B88" s="38"/>
      <c r="C88" s="39"/>
      <c r="D88" s="39"/>
      <c r="E88" s="39"/>
      <c r="F88" s="39"/>
      <c r="G88" s="39"/>
      <c r="H88" s="39"/>
      <c r="I88" s="39"/>
      <c r="J88" s="41"/>
      <c r="K88" s="20"/>
    </row>
    <row r="89" spans="1:14" x14ac:dyDescent="0.25">
      <c r="A89" s="20"/>
      <c r="B89" s="20"/>
      <c r="C89" s="20"/>
      <c r="D89" s="28" t="s">
        <v>10</v>
      </c>
      <c r="E89" s="25"/>
      <c r="F89" s="25"/>
      <c r="G89" s="20"/>
      <c r="H89" s="20"/>
      <c r="I89" s="20"/>
      <c r="J89" s="20"/>
      <c r="K89" s="20"/>
    </row>
    <row r="90" spans="1:14" ht="15.75" thickBot="1" x14ac:dyDescent="0.3">
      <c r="A90" s="20"/>
      <c r="B90" s="20"/>
      <c r="C90" s="20"/>
      <c r="D90" s="28"/>
      <c r="E90" s="25"/>
      <c r="F90" s="25"/>
      <c r="G90" s="20"/>
      <c r="H90" s="20"/>
      <c r="I90" s="20"/>
      <c r="J90" s="20"/>
      <c r="K90" s="20"/>
    </row>
    <row r="91" spans="1:14" ht="32.25" thickBot="1" x14ac:dyDescent="0.55000000000000004">
      <c r="A91" s="20"/>
      <c r="B91" s="7" t="s">
        <v>14</v>
      </c>
      <c r="C91" s="8"/>
      <c r="D91" s="8"/>
      <c r="E91" s="8"/>
      <c r="F91" s="8"/>
      <c r="G91" s="8"/>
      <c r="H91" s="8"/>
      <c r="I91" s="8"/>
      <c r="J91" s="9"/>
      <c r="K91" s="20"/>
      <c r="M91" s="81" t="s">
        <v>23</v>
      </c>
    </row>
    <row r="92" spans="1:14" ht="18.75" x14ac:dyDescent="0.3">
      <c r="A92" s="20"/>
      <c r="B92" s="10"/>
      <c r="C92" s="11" t="s">
        <v>0</v>
      </c>
      <c r="D92" s="11"/>
      <c r="F92" s="11" t="s">
        <v>2</v>
      </c>
      <c r="G92" s="11"/>
      <c r="H92" s="6" t="s">
        <v>2</v>
      </c>
      <c r="J92" s="34"/>
      <c r="K92" s="20"/>
      <c r="M92" s="1" t="s">
        <v>16</v>
      </c>
      <c r="N92" s="1" t="s">
        <v>17</v>
      </c>
    </row>
    <row r="93" spans="1:14" ht="18.75" x14ac:dyDescent="0.3">
      <c r="A93" s="20"/>
      <c r="B93" s="12" t="s">
        <v>4</v>
      </c>
      <c r="C93" s="13">
        <f>$M$93</f>
        <v>0</v>
      </c>
      <c r="D93" s="3"/>
      <c r="F93" s="4">
        <v>80</v>
      </c>
      <c r="G93" s="4"/>
      <c r="H93" s="45">
        <f>ROUNDUP(IF(OR(C93=0),(0),F93),0)</f>
        <v>0</v>
      </c>
      <c r="J93" s="34"/>
      <c r="K93" s="20"/>
      <c r="M93">
        <f>FEES!C45</f>
        <v>0</v>
      </c>
      <c r="N93">
        <f>IF(M93&lt;=1000,H93,IF(AND(M93&gt;1000,M93&lt;=5000),H94,IF(AND(M93&gt;5000,M93&lt;=15000),H95,IF(M93&gt;15000,H96,""))))</f>
        <v>0</v>
      </c>
    </row>
    <row r="94" spans="1:14" ht="18.75" x14ac:dyDescent="0.3">
      <c r="A94" s="20"/>
      <c r="B94" s="12" t="s">
        <v>11</v>
      </c>
      <c r="C94" s="13">
        <f t="shared" ref="C94:C96" si="7">$M$93</f>
        <v>0</v>
      </c>
      <c r="D94" s="23">
        <f>SUM((C94-1000)/(1000))</f>
        <v>-1</v>
      </c>
      <c r="E94" s="3">
        <f>ROUNDUP(D94,0)</f>
        <v>-1</v>
      </c>
      <c r="F94" s="4">
        <f>SUM(E94*6)+80</f>
        <v>74</v>
      </c>
      <c r="G94" s="4"/>
      <c r="H94" s="45">
        <f>ROUNDUP(IF(OR(C94=0),(0),F94),0)</f>
        <v>0</v>
      </c>
      <c r="J94" s="34"/>
      <c r="K94" s="20"/>
    </row>
    <row r="95" spans="1:14" ht="18.75" x14ac:dyDescent="0.3">
      <c r="A95" s="20"/>
      <c r="B95" s="12" t="s">
        <v>12</v>
      </c>
      <c r="C95" s="13">
        <f t="shared" si="7"/>
        <v>0</v>
      </c>
      <c r="D95" s="23">
        <f>SUM((C95-5000)/(1000))</f>
        <v>-5</v>
      </c>
      <c r="E95" s="3">
        <f>ROUNDUP(D95,0)</f>
        <v>-5</v>
      </c>
      <c r="F95" s="4">
        <f>SUM((E95*4)+104)</f>
        <v>84</v>
      </c>
      <c r="G95" s="4"/>
      <c r="H95" s="45">
        <f>ROUNDUP(IF(OR(C95=0),(0),F95),0)</f>
        <v>0</v>
      </c>
      <c r="J95" s="34"/>
      <c r="K95" s="20"/>
    </row>
    <row r="96" spans="1:14" ht="19.5" thickBot="1" x14ac:dyDescent="0.35">
      <c r="A96" s="20"/>
      <c r="B96" s="12" t="s">
        <v>13</v>
      </c>
      <c r="C96" s="13">
        <f t="shared" si="7"/>
        <v>0</v>
      </c>
      <c r="D96" s="23">
        <f>SUM((C96-15000)/(1000))</f>
        <v>-15</v>
      </c>
      <c r="E96" s="3">
        <f>ROUNDUP(D96,0)</f>
        <v>-15</v>
      </c>
      <c r="F96" s="4">
        <f>SUM((E96*2.6)+144)</f>
        <v>105</v>
      </c>
      <c r="G96" s="4"/>
      <c r="H96" s="48">
        <f>ROUNDUP(IF(OR(C96=0),(0),F96),0)</f>
        <v>0</v>
      </c>
      <c r="J96" s="34"/>
      <c r="K96" s="20"/>
    </row>
    <row r="97" spans="1:11" ht="15.75" thickBot="1" x14ac:dyDescent="0.3">
      <c r="A97" s="20"/>
      <c r="B97" s="24"/>
      <c r="C97" s="14"/>
      <c r="D97" s="36"/>
      <c r="E97" s="14"/>
      <c r="F97" s="15"/>
      <c r="G97" s="15"/>
      <c r="H97" s="39"/>
      <c r="I97" s="42"/>
      <c r="J97" s="41"/>
      <c r="K97" s="20"/>
    </row>
    <row r="98" spans="1:11" x14ac:dyDescent="0.25">
      <c r="A98" s="20"/>
      <c r="B98" s="20"/>
      <c r="C98" s="20"/>
      <c r="D98" s="28" t="s">
        <v>10</v>
      </c>
      <c r="E98" s="27"/>
      <c r="F98" s="27"/>
      <c r="G98" s="20"/>
      <c r="H98" s="20"/>
      <c r="I98" s="20"/>
      <c r="J98" s="20"/>
      <c r="K98" s="20"/>
    </row>
  </sheetData>
  <protectedRanges>
    <protectedRange sqref="C23:C25 C6:C11 C38:C39 C45:C46 C52:C53 C59:C60 C93:C96 C28:C32 C84:C87 C74:C77 C65:C69" name="Permit Valuation"/>
  </protectedRanges>
  <mergeCells count="3">
    <mergeCell ref="L2:L12"/>
    <mergeCell ref="M14:O14"/>
    <mergeCell ref="M26:O26"/>
  </mergeCell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FEES</vt:lpstr>
      <vt:lpstr>Calculations</vt:lpstr>
    </vt:vector>
  </TitlesOfParts>
  <Company>City of Victoria, Texas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srhea</dc:creator>
  <cp:lastModifiedBy>Celeste Menchaca</cp:lastModifiedBy>
  <cp:lastPrinted>2025-02-11T23:39:25Z</cp:lastPrinted>
  <dcterms:created xsi:type="dcterms:W3CDTF">2012-05-22T16:28:12Z</dcterms:created>
  <dcterms:modified xsi:type="dcterms:W3CDTF">2025-03-06T14:48:50Z</dcterms:modified>
</cp:coreProperties>
</file>